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<sst xmlns="http://schemas.openxmlformats.org/spreadsheetml/2006/main" count="72" uniqueCount="72">
  <si>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</si>
  <si>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</si>
  <si>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</si>
  <si>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</si>
  <si>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</si>
  <si>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</si>
  <si>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</si>
  <si>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</si>
  <si>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</si>
  <si>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</si>
  <si>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</si>
  <si>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</si>
  <si>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</si>
  <si>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</si>
  <si>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</si>
  <si>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</si>
  <si>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</si>
  <si>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</si>
  <si>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</si>
  <si>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</si>
  <si>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</si>
  <si>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</si>
  <si>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</si>
  <si>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</si>
  <si>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</si>
  <si>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</si>
  <si>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</si>
  <si>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</si>
  <si>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</si>
  <si>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</si>
  <si>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</si>
  <si>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</si>
  <si>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</si>
  <si>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</si>
  <si>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</si>
  <si>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</si>
  <si>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</si>
  <si>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по жилому дому г. Унеча пер.Крупской д.5</t>
  </si>
  <si>
    <t>за 2010 г.</t>
  </si>
  <si>
    <t>Финансовый результат по дому с начала года</t>
  </si>
  <si>
    <t>10</t>
  </si>
  <si>
    <t>Задолженность на 01.__________.2011г. РИРЦ</t>
  </si>
  <si>
    <t>Итого 2011 г</t>
  </si>
  <si>
    <t>Проверка дымовых каналов</t>
  </si>
  <si>
    <t>Результат за месяц</t>
  </si>
  <si>
    <t>Благоустройство территории</t>
  </si>
  <si>
    <t>4.12</t>
  </si>
  <si>
    <t>4.13</t>
  </si>
  <si>
    <t>5</t>
  </si>
  <si>
    <t>Итого 2012 г</t>
  </si>
  <si>
    <t>Итого 2013 г</t>
  </si>
  <si>
    <t>Итого 2014 г</t>
  </si>
  <si>
    <t xml:space="preserve">Материалы </t>
  </si>
  <si>
    <t>рентабельность 5%</t>
  </si>
  <si>
    <t>Итого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</si>
  <si>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</si>
  <si>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</si>
  <si>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</si>
  <si>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</si>
  <si>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экономист/Викторова Л.С./</t>
  </si>
  <si>
    <t>Итого 2016 г</t>
  </si>
  <si>
    <t>Итого 2017 г</t>
  </si>
  <si>
    <t>Начислено СОИД</t>
  </si>
  <si>
    <t>Электроэнергия СОИД</t>
  </si>
  <si>
    <t>Холдодная вода СОИД</t>
  </si>
  <si>
    <t>Канализация СОИД</t>
  </si>
  <si>
    <t>Итого 2018 г</t>
  </si>
  <si>
    <t>Итого 2019 г</t>
  </si>
  <si>
    <t>Всего 2010-2019</t>
  </si>
  <si>
    <t>Вывоз ТБО(Утилизация)</t>
  </si>
  <si>
    <t>Дом по пер.Крупской д.5 вступил в ООО "Наш дом"  в феврале 2010г.      Тариф  9,32 руб. с 1 января 2019 г  тариф 8,7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</si>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</sst>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left" wrapText="1"/>
    </xf>
    <xf numFmtId="0" fontId="20" fillId="0" borderId="15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3" xfId="0" applyFont="1" applyBorder="1" applyAlignment="1">
      <alignment/>
    </xf>
    <xf numFmtId="49" fontId="20" fillId="0" borderId="19" xfId="0" applyNumberFormat="1" applyFont="1" applyBorder="1" applyAlignment="1">
      <alignment wrapText="1"/>
    </xf>
    <xf numFmtId="2" fontId="20" fillId="0" borderId="23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21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20" fillId="0" borderId="28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0" fillId="0" borderId="29" xfId="0" applyFont="1" applyBorder="1" applyAlignment="1">
      <alignment horizontal="right" wrapText="1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wrapText="1"/>
    </xf>
    <xf numFmtId="0" fontId="20" fillId="0" borderId="17" xfId="0" applyFont="1" applyBorder="1" applyAlignment="1">
      <alignment horizontal="right" wrapText="1"/>
    </xf>
    <xf numFmtId="0" fontId="20" fillId="0" borderId="33" xfId="0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32" xfId="0" applyFont="1" applyBorder="1" applyAlignment="1">
      <alignment/>
    </xf>
    <xf numFmtId="0" fontId="20" fillId="0" borderId="3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17" xfId="0" applyFont="1" applyBorder="1" applyAlignment="1">
      <alignment/>
    </xf>
    <xf numFmtId="0" fontId="20" fillId="2" borderId="36" xfId="0" applyFont="1" applyFill="1" applyBorder="1" applyAlignment="1">
      <alignment wrapText="1"/>
    </xf>
    <xf numFmtId="0" fontId="20" fillId="2" borderId="17" xfId="0" applyFont="1" applyFill="1" applyBorder="1" applyAlignment="1">
      <alignment wrapText="1"/>
    </xf>
    <xf numFmtId="0" fontId="20" fillId="2" borderId="33" xfId="0" applyFont="1" applyFill="1" applyBorder="1" applyAlignment="1">
      <alignment wrapText="1"/>
    </xf>
    <xf numFmtId="0" fontId="19" fillId="2" borderId="37" xfId="0" applyFont="1" applyFill="1" applyBorder="1" applyAlignment="1">
      <alignment/>
    </xf>
    <xf numFmtId="0" fontId="19" fillId="2" borderId="39" xfId="0" applyFont="1" applyFill="1" applyBorder="1" applyAlignment="1">
      <alignment/>
    </xf>
    <xf numFmtId="0" fontId="19" fillId="2" borderId="33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2" borderId="14" xfId="0" applyFont="1" applyFill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2" fontId="20" fillId="0" borderId="23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3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4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wrapText="1"/>
    </xf>
    <xf numFmtId="2" fontId="20" fillId="0" borderId="44" xfId="0" applyNumberFormat="1" applyFont="1" applyBorder="1" applyAlignment="1">
      <alignment horizontal="right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right" wrapText="1"/>
    </xf>
    <xf numFmtId="0" fontId="20" fillId="0" borderId="49" xfId="0" applyFont="1" applyBorder="1" applyAlignment="1">
      <alignment horizontal="right" wrapText="1"/>
    </xf>
    <xf numFmtId="0" fontId="20" fillId="0" borderId="49" xfId="0" applyFont="1" applyBorder="1" applyAlignment="1">
      <alignment/>
    </xf>
    <xf numFmtId="2" fontId="20" fillId="0" borderId="36" xfId="0" applyNumberFormat="1" applyFont="1" applyBorder="1" applyAlignment="1">
      <alignment/>
    </xf>
    <xf numFmtId="0" fontId="26" fillId="0" borderId="19" xfId="0" applyFont="1" applyBorder="1" applyAlignment="1">
      <alignment/>
    </xf>
    <xf numFmtId="2" fontId="26" fillId="0" borderId="12" xfId="0" applyNumberFormat="1" applyFont="1" applyBorder="1" applyAlignment="1">
      <alignment horizontal="right"/>
    </xf>
    <xf numFmtId="0" fontId="26" fillId="0" borderId="23" xfId="0" applyFont="1" applyBorder="1" applyAlignment="1">
      <alignment/>
    </xf>
    <xf numFmtId="0" fontId="26" fillId="0" borderId="17" xfId="0" applyFont="1" applyBorder="1" applyAlignment="1">
      <alignment/>
    </xf>
    <xf numFmtId="2" fontId="20" fillId="0" borderId="49" xfId="0" applyNumberFormat="1" applyFont="1" applyBorder="1" applyAlignment="1">
      <alignment/>
    </xf>
    <xf numFmtId="0" fontId="25" fillId="0" borderId="23" xfId="0" applyFont="1" applyBorder="1" applyAlignment="1">
      <alignment wrapText="1"/>
    </xf>
    <xf numFmtId="0" fontId="20" fillId="0" borderId="34" xfId="0" applyFont="1" applyBorder="1" applyAlignment="1">
      <alignment/>
    </xf>
    <xf numFmtId="0" fontId="24" fillId="0" borderId="13" xfId="0" applyFont="1" applyBorder="1" applyAlignment="1">
      <alignment wrapText="1"/>
    </xf>
    <xf numFmtId="0" fontId="27" fillId="0" borderId="1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50" xfId="0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51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45" xfId="0" applyFont="1" applyBorder="1" applyAlignment="1">
      <alignment/>
    </xf>
    <xf numFmtId="2" fontId="27" fillId="0" borderId="14" xfId="0" applyNumberFormat="1" applyFont="1" applyBorder="1" applyAlignment="1">
      <alignment/>
    </xf>
    <xf numFmtId="2" fontId="27" fillId="0" borderId="45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3">
      <selection activeCell="B2" sqref="B2:Y2"/>
    </sheetView>
  </sheetViews>
  <sheetFormatPr defaultColWidth="9.00390625" defaultRowHeight="12.75"/>
  <cols>
    <col min="1" max="1" width="4.00390625" style="8" customWidth="1"/>
    <col min="2" max="2" width="20.00390625" style="0" customWidth="1"/>
    <col min="3" max="3" width="0.12890625" style="0" hidden="1" customWidth="1"/>
    <col min="4" max="4" width="8.25390625" style="0" hidden="1" customWidth="1"/>
    <col min="5" max="5" width="7.25390625" style="0" hidden="1" customWidth="1"/>
    <col min="6" max="6" width="7.75390625" style="0" hidden="1" customWidth="1"/>
    <col min="7" max="8" width="8.125" style="0" hidden="1" customWidth="1"/>
    <col min="9" max="9" width="0.12890625" style="0" hidden="1" customWidth="1"/>
    <col min="10" max="10" width="9.25390625" style="0" hidden="1" customWidth="1"/>
    <col min="11" max="11" width="8.125" style="0" hidden="1" customWidth="1"/>
    <col min="12" max="12" width="8.375" style="0" customWidth="1"/>
    <col min="13" max="13" width="8.875" style="0" customWidth="1"/>
    <col min="14" max="14" width="8.375" style="0" customWidth="1"/>
    <col min="15" max="15" width="8.625" style="0" customWidth="1"/>
    <col min="16" max="16" width="7.875" style="0" customWidth="1"/>
    <col min="17" max="17" width="8.625" style="0" customWidth="1"/>
    <col min="18" max="18" width="8.375" style="0" customWidth="1"/>
    <col min="19" max="19" width="8.625" style="0" customWidth="1"/>
    <col min="20" max="20" width="8.875" style="0" customWidth="1"/>
    <col min="21" max="21" width="8.25390625" style="0" customWidth="1"/>
    <col min="22" max="22" width="8.75390625" style="0" customWidth="1"/>
    <col min="23" max="23" width="9.00390625" style="0" customWidth="1"/>
    <col min="24" max="24" width="8.375" style="0" customWidth="1"/>
    <col min="25" max="25" width="10.375" style="0" customWidth="1"/>
  </cols>
  <sheetData>
    <row r="1" spans="2:30" ht="12.75" customHeight="1">
      <c r="B1" s="111" t="s">
        <v>71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11" t="s">
        <v>70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  <c r="V2" s="112"/>
      <c r="W2" s="112"/>
      <c r="X2" s="112"/>
      <c r="Y2" s="112"/>
      <c r="Z2" s="4"/>
      <c r="AA2" s="4"/>
      <c r="AB2" s="4"/>
      <c r="AC2" s="4"/>
      <c r="AD2" s="4"/>
    </row>
    <row r="3" spans="2:30" ht="12.75" customHeight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3"/>
      <c r="AA3" s="3"/>
      <c r="AB3" s="3"/>
      <c r="AC3" s="3"/>
      <c r="AD3" s="3"/>
    </row>
    <row r="4" spans="2:30" ht="15" customHeight="1">
      <c r="B4" s="109" t="s">
        <v>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2"/>
      <c r="AA4" s="2"/>
      <c r="AB4" s="2"/>
      <c r="AC4" s="2"/>
      <c r="AD4" s="2"/>
    </row>
    <row r="5" spans="2:30" ht="16.5" customHeight="1">
      <c r="B5" s="109" t="s">
        <v>37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2"/>
      <c r="AA5" s="2"/>
      <c r="AB5" s="2"/>
      <c r="AC5" s="2"/>
      <c r="AD5" s="2"/>
    </row>
    <row r="6" spans="2:30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7" customHeight="1" thickBot="1">
      <c r="A7" s="11" t="s">
        <v>25</v>
      </c>
      <c r="B7" s="12" t="s">
        <v>6</v>
      </c>
      <c r="C7" s="13" t="s">
        <v>38</v>
      </c>
      <c r="D7" s="16" t="s">
        <v>42</v>
      </c>
      <c r="E7" s="16" t="s">
        <v>49</v>
      </c>
      <c r="F7" s="81" t="s">
        <v>50</v>
      </c>
      <c r="G7" s="16" t="s">
        <v>51</v>
      </c>
      <c r="H7" s="16" t="s">
        <v>54</v>
      </c>
      <c r="I7" s="16" t="s">
        <v>60</v>
      </c>
      <c r="J7" s="16" t="s">
        <v>61</v>
      </c>
      <c r="K7" s="16" t="s">
        <v>66</v>
      </c>
      <c r="L7" s="19" t="s">
        <v>10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19</v>
      </c>
      <c r="V7" s="14" t="s">
        <v>21</v>
      </c>
      <c r="W7" s="15" t="s">
        <v>20</v>
      </c>
      <c r="X7" s="16" t="s">
        <v>67</v>
      </c>
      <c r="Y7" s="17" t="s">
        <v>68</v>
      </c>
      <c r="Z7" s="1"/>
      <c r="AA7" s="1"/>
      <c r="AB7" s="1"/>
      <c r="AC7" s="1"/>
      <c r="AD7" s="1"/>
    </row>
    <row r="8" spans="1:25" ht="13.5" thickBot="1">
      <c r="A8" s="69">
        <v>1</v>
      </c>
      <c r="B8" s="20" t="s">
        <v>1</v>
      </c>
      <c r="C8" s="75">
        <v>40966.31</v>
      </c>
      <c r="D8" s="74">
        <v>49362.16</v>
      </c>
      <c r="E8" s="74">
        <v>50556.99</v>
      </c>
      <c r="F8" s="82">
        <v>50667.94</v>
      </c>
      <c r="G8" s="74">
        <v>50898.24</v>
      </c>
      <c r="H8" s="75">
        <v>50898.24</v>
      </c>
      <c r="I8" s="74">
        <v>50898.24</v>
      </c>
      <c r="J8" s="74">
        <v>50973.9</v>
      </c>
      <c r="K8" s="74">
        <v>51032.64</v>
      </c>
      <c r="L8" s="71">
        <v>3969.81</v>
      </c>
      <c r="M8" s="71">
        <v>3969.81</v>
      </c>
      <c r="N8" s="71">
        <v>3969.81</v>
      </c>
      <c r="O8" s="71">
        <v>3969.81</v>
      </c>
      <c r="P8" s="71">
        <v>3969.81</v>
      </c>
      <c r="Q8" s="71">
        <v>3969.81</v>
      </c>
      <c r="R8" s="71">
        <v>3969.81</v>
      </c>
      <c r="S8" s="71">
        <v>3969.81</v>
      </c>
      <c r="T8" s="71">
        <v>3969.81</v>
      </c>
      <c r="U8" s="71">
        <v>3969.81</v>
      </c>
      <c r="V8" s="71">
        <v>3969.81</v>
      </c>
      <c r="W8" s="71">
        <v>3969.81</v>
      </c>
      <c r="X8" s="23">
        <f>SUM(L8:W8)</f>
        <v>47637.719999999994</v>
      </c>
      <c r="Y8" s="89">
        <f>SUM(C8:W8)</f>
        <v>493892.38</v>
      </c>
    </row>
    <row r="9" spans="1:25" ht="13.5" thickBot="1">
      <c r="A9" s="69"/>
      <c r="B9" s="20" t="s">
        <v>62</v>
      </c>
      <c r="C9" s="75"/>
      <c r="D9" s="94"/>
      <c r="E9" s="94"/>
      <c r="F9" s="75"/>
      <c r="G9" s="94"/>
      <c r="H9" s="75"/>
      <c r="I9" s="94">
        <v>0</v>
      </c>
      <c r="J9" s="94">
        <v>6817.23</v>
      </c>
      <c r="K9" s="94">
        <v>5275.11</v>
      </c>
      <c r="L9" s="71">
        <f aca="true" t="shared" si="0" ref="L9:Q9">37.63+33.32</f>
        <v>70.95</v>
      </c>
      <c r="M9" s="71">
        <f t="shared" si="0"/>
        <v>70.95</v>
      </c>
      <c r="N9" s="71">
        <f t="shared" si="0"/>
        <v>70.95</v>
      </c>
      <c r="O9" s="71">
        <f t="shared" si="0"/>
        <v>70.95</v>
      </c>
      <c r="P9" s="71">
        <f t="shared" si="0"/>
        <v>70.95</v>
      </c>
      <c r="Q9" s="71">
        <f t="shared" si="0"/>
        <v>70.95</v>
      </c>
      <c r="R9" s="22">
        <f aca="true" t="shared" si="1" ref="R9:W9">38.31+37.06</f>
        <v>75.37</v>
      </c>
      <c r="S9" s="22">
        <f t="shared" si="1"/>
        <v>75.37</v>
      </c>
      <c r="T9" s="22">
        <f t="shared" si="1"/>
        <v>75.37</v>
      </c>
      <c r="U9" s="22">
        <f t="shared" si="1"/>
        <v>75.37</v>
      </c>
      <c r="V9" s="22">
        <f t="shared" si="1"/>
        <v>75.37</v>
      </c>
      <c r="W9" s="22">
        <f t="shared" si="1"/>
        <v>75.37</v>
      </c>
      <c r="X9" s="23">
        <f>SUM(L9:W9)</f>
        <v>877.9200000000001</v>
      </c>
      <c r="Y9" s="89">
        <f>SUM(C9:W9)</f>
        <v>12970.26000000001</v>
      </c>
    </row>
    <row r="10" spans="1:25" ht="13.5" thickBot="1">
      <c r="A10" s="69">
        <v>4</v>
      </c>
      <c r="B10" s="96" t="s">
        <v>2</v>
      </c>
      <c r="C10" s="97">
        <f aca="true" t="shared" si="2" ref="C10:L10">SUM(C11:C25)</f>
        <v>37316.549999999996</v>
      </c>
      <c r="D10" s="98">
        <f t="shared" si="2"/>
        <v>67246.65</v>
      </c>
      <c r="E10" s="97">
        <f t="shared" si="2"/>
        <v>60767.85</v>
      </c>
      <c r="F10" s="98">
        <f t="shared" si="2"/>
        <v>59765.990000000005</v>
      </c>
      <c r="G10" s="97">
        <f t="shared" si="2"/>
        <v>52889.68</v>
      </c>
      <c r="H10" s="98">
        <f>SUM(H11:H25)</f>
        <v>45239.549999999996</v>
      </c>
      <c r="I10" s="97">
        <f>SUM(I11:I25)</f>
        <v>45703.479999999996</v>
      </c>
      <c r="J10" s="97">
        <f>SUM(J11:J25)</f>
        <v>51317.15</v>
      </c>
      <c r="K10" s="97">
        <f t="shared" si="2"/>
        <v>55278.240000000005</v>
      </c>
      <c r="L10" s="99">
        <f t="shared" si="2"/>
        <v>3395.92</v>
      </c>
      <c r="M10" s="99">
        <f aca="true" t="shared" si="3" ref="M10:W10">SUM(M11:M25)</f>
        <v>2454.2899999999995</v>
      </c>
      <c r="N10" s="99">
        <f t="shared" si="3"/>
        <v>2643.64</v>
      </c>
      <c r="O10" s="99">
        <f t="shared" si="3"/>
        <v>2456.01</v>
      </c>
      <c r="P10" s="99">
        <f t="shared" si="3"/>
        <v>2774.0200000000004</v>
      </c>
      <c r="Q10" s="99">
        <f t="shared" si="3"/>
        <v>2318.12</v>
      </c>
      <c r="R10" s="99">
        <f t="shared" si="3"/>
        <v>2336.94</v>
      </c>
      <c r="S10" s="99">
        <f t="shared" si="3"/>
        <v>6054.200000000001</v>
      </c>
      <c r="T10" s="99">
        <f t="shared" si="3"/>
        <v>2104.48</v>
      </c>
      <c r="U10" s="99">
        <f t="shared" si="3"/>
        <v>2636.39</v>
      </c>
      <c r="V10" s="99">
        <f t="shared" si="3"/>
        <v>2297.24</v>
      </c>
      <c r="W10" s="98">
        <f t="shared" si="3"/>
        <v>3435.93</v>
      </c>
      <c r="X10" s="97">
        <f>SUM(L10:W10)</f>
        <v>34907.18</v>
      </c>
      <c r="Y10" s="100">
        <f>SUM(C10:W10)</f>
        <v>510432.31999999995</v>
      </c>
    </row>
    <row r="11" spans="1:25" ht="12.75">
      <c r="A11" s="69" t="s">
        <v>26</v>
      </c>
      <c r="B11" s="30" t="s">
        <v>69</v>
      </c>
      <c r="C11" s="31">
        <v>8510.35</v>
      </c>
      <c r="D11" s="32">
        <v>10221.43</v>
      </c>
      <c r="E11" s="31">
        <v>13376.34</v>
      </c>
      <c r="F11" s="83">
        <v>16297.85</v>
      </c>
      <c r="G11" s="31">
        <v>16613.86</v>
      </c>
      <c r="H11" s="83">
        <v>16609.67</v>
      </c>
      <c r="I11" s="31">
        <v>15558.21</v>
      </c>
      <c r="J11" s="31">
        <v>17545.9</v>
      </c>
      <c r="K11" s="31">
        <v>17515.73</v>
      </c>
      <c r="L11" s="72"/>
      <c r="M11" s="33"/>
      <c r="N11" s="33"/>
      <c r="O11" s="33">
        <v>36</v>
      </c>
      <c r="P11" s="33">
        <v>27.51</v>
      </c>
      <c r="Q11" s="33">
        <v>11.38</v>
      </c>
      <c r="R11" s="33">
        <v>29.99</v>
      </c>
      <c r="S11" s="33">
        <v>19.1</v>
      </c>
      <c r="T11" s="33">
        <v>4.79</v>
      </c>
      <c r="U11" s="33">
        <v>17.11</v>
      </c>
      <c r="V11" s="33">
        <v>14.25</v>
      </c>
      <c r="W11" s="34">
        <v>9.65</v>
      </c>
      <c r="X11" s="25">
        <f aca="true" t="shared" si="4" ref="X11:X27">SUM(L11:W11)</f>
        <v>169.78</v>
      </c>
      <c r="Y11" s="90">
        <f>SUM(C11:W11)</f>
        <v>132419.12</v>
      </c>
    </row>
    <row r="12" spans="1:25" ht="14.25" customHeight="1">
      <c r="A12" s="69" t="s">
        <v>27</v>
      </c>
      <c r="B12" s="35" t="s">
        <v>58</v>
      </c>
      <c r="C12" s="36">
        <v>10288.85</v>
      </c>
      <c r="D12" s="37">
        <v>6411.63</v>
      </c>
      <c r="E12" s="36">
        <v>2587.96</v>
      </c>
      <c r="F12" s="84">
        <v>4263.29</v>
      </c>
      <c r="G12" s="36">
        <v>1200.25</v>
      </c>
      <c r="H12" s="84">
        <v>3640</v>
      </c>
      <c r="I12" s="36">
        <v>40.23</v>
      </c>
      <c r="J12" s="36">
        <v>1679.5</v>
      </c>
      <c r="K12" s="36">
        <v>235</v>
      </c>
      <c r="L12" s="71">
        <v>458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4"/>
      <c r="X12" s="25">
        <f t="shared" si="4"/>
        <v>458</v>
      </c>
      <c r="Y12" s="91">
        <f aca="true" t="shared" si="5" ref="Y12:Y24">SUM(C12:W12)</f>
        <v>30804.71</v>
      </c>
    </row>
    <row r="13" spans="1:25" ht="21" customHeight="1">
      <c r="A13" s="69" t="s">
        <v>28</v>
      </c>
      <c r="B13" s="26" t="s">
        <v>4</v>
      </c>
      <c r="C13" s="36">
        <v>1180.09</v>
      </c>
      <c r="D13" s="37">
        <v>0</v>
      </c>
      <c r="E13" s="36">
        <v>0</v>
      </c>
      <c r="F13" s="84">
        <v>0</v>
      </c>
      <c r="G13" s="36"/>
      <c r="H13" s="84">
        <v>0</v>
      </c>
      <c r="I13" s="36">
        <v>4371.8</v>
      </c>
      <c r="J13" s="36">
        <v>0</v>
      </c>
      <c r="K13" s="36">
        <v>6489.96</v>
      </c>
      <c r="L13" s="71"/>
      <c r="M13" s="21"/>
      <c r="N13" s="21"/>
      <c r="O13" s="21"/>
      <c r="P13" s="21"/>
      <c r="Q13" s="21"/>
      <c r="R13" s="21"/>
      <c r="S13" s="21">
        <v>3467.5</v>
      </c>
      <c r="T13" s="21"/>
      <c r="U13" s="21"/>
      <c r="V13" s="21"/>
      <c r="W13" s="24"/>
      <c r="X13" s="25">
        <f t="shared" si="4"/>
        <v>3467.5</v>
      </c>
      <c r="Y13" s="91">
        <f>SUM(C13:W13)</f>
        <v>15509.35</v>
      </c>
    </row>
    <row r="14" spans="1:25" ht="24" customHeight="1">
      <c r="A14" s="69" t="s">
        <v>29</v>
      </c>
      <c r="B14" s="26" t="s">
        <v>43</v>
      </c>
      <c r="C14" s="36">
        <v>0</v>
      </c>
      <c r="D14" s="37">
        <v>562.23</v>
      </c>
      <c r="E14" s="36">
        <v>0</v>
      </c>
      <c r="F14" s="84">
        <v>0</v>
      </c>
      <c r="G14" s="36"/>
      <c r="H14" s="84">
        <v>200</v>
      </c>
      <c r="I14" s="36">
        <v>0</v>
      </c>
      <c r="J14" s="36">
        <v>0</v>
      </c>
      <c r="K14" s="36">
        <v>0</v>
      </c>
      <c r="L14" s="7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4"/>
      <c r="X14" s="25">
        <f t="shared" si="4"/>
        <v>0</v>
      </c>
      <c r="Y14" s="91">
        <f>SUM(C14:W14)</f>
        <v>762.23</v>
      </c>
    </row>
    <row r="15" spans="1:25" ht="21" customHeight="1">
      <c r="A15" s="69" t="s">
        <v>30</v>
      </c>
      <c r="B15" s="26" t="s">
        <v>45</v>
      </c>
      <c r="C15" s="36"/>
      <c r="D15" s="37">
        <v>0</v>
      </c>
      <c r="E15" s="36">
        <v>256</v>
      </c>
      <c r="F15" s="84">
        <v>0</v>
      </c>
      <c r="G15" s="36">
        <v>13.09</v>
      </c>
      <c r="H15" s="84">
        <v>52.96</v>
      </c>
      <c r="I15" s="36">
        <v>51</v>
      </c>
      <c r="J15" s="36">
        <v>397.93</v>
      </c>
      <c r="K15" s="36">
        <v>78</v>
      </c>
      <c r="L15" s="71">
        <v>56.72</v>
      </c>
      <c r="M15" s="21">
        <v>29</v>
      </c>
      <c r="N15" s="21"/>
      <c r="O15" s="21"/>
      <c r="P15" s="21"/>
      <c r="Q15" s="21"/>
      <c r="R15" s="21"/>
      <c r="S15" s="21"/>
      <c r="T15" s="21"/>
      <c r="U15" s="21"/>
      <c r="V15" s="21"/>
      <c r="W15" s="24"/>
      <c r="X15" s="25">
        <f>SUM(L15:W15)</f>
        <v>85.72</v>
      </c>
      <c r="Y15" s="91">
        <f>SUM(C15:W15)</f>
        <v>934.7</v>
      </c>
    </row>
    <row r="16" spans="1:25" ht="12" customHeight="1">
      <c r="A16" s="69" t="s">
        <v>31</v>
      </c>
      <c r="B16" s="35" t="s">
        <v>52</v>
      </c>
      <c r="C16" s="36">
        <v>165.48</v>
      </c>
      <c r="D16" s="37">
        <v>18631.54</v>
      </c>
      <c r="E16" s="36">
        <v>11079.69</v>
      </c>
      <c r="F16" s="84">
        <v>2203.55</v>
      </c>
      <c r="G16" s="36">
        <v>3129.69</v>
      </c>
      <c r="H16" s="84">
        <v>-2439.78</v>
      </c>
      <c r="I16" s="36">
        <v>798.17</v>
      </c>
      <c r="J16" s="36">
        <v>95</v>
      </c>
      <c r="K16" s="36">
        <v>0</v>
      </c>
      <c r="L16" s="71"/>
      <c r="M16" s="21"/>
      <c r="N16" s="21"/>
      <c r="O16" s="21"/>
      <c r="P16" s="21"/>
      <c r="Q16" s="21">
        <v>60</v>
      </c>
      <c r="R16" s="21"/>
      <c r="S16" s="21">
        <v>385</v>
      </c>
      <c r="T16" s="21"/>
      <c r="U16" s="21"/>
      <c r="V16" s="21"/>
      <c r="W16" s="24"/>
      <c r="X16" s="25">
        <f t="shared" si="4"/>
        <v>445</v>
      </c>
      <c r="Y16" s="91">
        <f t="shared" si="5"/>
        <v>34108.34</v>
      </c>
    </row>
    <row r="17" spans="1:25" ht="12" customHeight="1">
      <c r="A17" s="69" t="s">
        <v>32</v>
      </c>
      <c r="B17" s="35" t="s">
        <v>63</v>
      </c>
      <c r="C17" s="36">
        <v>3468.31</v>
      </c>
      <c r="D17" s="37">
        <v>4390.4</v>
      </c>
      <c r="E17" s="36">
        <v>2486.29</v>
      </c>
      <c r="F17" s="84">
        <v>0</v>
      </c>
      <c r="G17" s="36"/>
      <c r="H17" s="84">
        <v>0</v>
      </c>
      <c r="I17" s="36">
        <v>0</v>
      </c>
      <c r="J17" s="36">
        <v>6233.54</v>
      </c>
      <c r="K17" s="36">
        <v>4426.83</v>
      </c>
      <c r="L17" s="7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4"/>
      <c r="X17" s="25">
        <f t="shared" si="4"/>
        <v>0</v>
      </c>
      <c r="Y17" s="91">
        <f t="shared" si="5"/>
        <v>21005.370000000003</v>
      </c>
    </row>
    <row r="18" spans="1:25" ht="12" customHeight="1">
      <c r="A18" s="69"/>
      <c r="B18" s="35" t="s">
        <v>64</v>
      </c>
      <c r="C18" s="36"/>
      <c r="D18" s="37"/>
      <c r="E18" s="36"/>
      <c r="F18" s="84"/>
      <c r="G18" s="36"/>
      <c r="H18" s="84"/>
      <c r="I18" s="36"/>
      <c r="J18" s="36">
        <v>357.05</v>
      </c>
      <c r="K18" s="36">
        <v>450.18</v>
      </c>
      <c r="L18" s="71">
        <v>37.63</v>
      </c>
      <c r="M18" s="71">
        <v>37.63</v>
      </c>
      <c r="N18" s="71">
        <v>37.63</v>
      </c>
      <c r="O18" s="71">
        <v>37.63</v>
      </c>
      <c r="P18" s="71">
        <v>37.63</v>
      </c>
      <c r="Q18" s="71">
        <v>37.63</v>
      </c>
      <c r="R18" s="71">
        <v>37.63</v>
      </c>
      <c r="S18" s="21">
        <v>39.01</v>
      </c>
      <c r="T18" s="21">
        <v>38.32</v>
      </c>
      <c r="U18" s="21">
        <v>38.32</v>
      </c>
      <c r="V18" s="21">
        <v>38.32</v>
      </c>
      <c r="W18" s="21">
        <v>38.32</v>
      </c>
      <c r="X18" s="25">
        <f>SUM(L18:W18)</f>
        <v>455.7</v>
      </c>
      <c r="Y18" s="91">
        <f>SUM(C18:W18)</f>
        <v>1262.9299999999998</v>
      </c>
    </row>
    <row r="19" spans="1:25" ht="12" customHeight="1">
      <c r="A19" s="69"/>
      <c r="B19" s="35" t="s">
        <v>65</v>
      </c>
      <c r="C19" s="36"/>
      <c r="D19" s="37"/>
      <c r="E19" s="36"/>
      <c r="F19" s="84"/>
      <c r="G19" s="36"/>
      <c r="H19" s="84"/>
      <c r="I19" s="36"/>
      <c r="J19" s="36">
        <v>230.43</v>
      </c>
      <c r="K19" s="36">
        <v>398.04</v>
      </c>
      <c r="L19" s="71">
        <v>33.31</v>
      </c>
      <c r="M19" s="71">
        <v>33.31</v>
      </c>
      <c r="N19" s="71">
        <v>33.31</v>
      </c>
      <c r="O19" s="71">
        <v>33.31</v>
      </c>
      <c r="P19" s="71">
        <v>33.31</v>
      </c>
      <c r="Q19" s="71">
        <v>33.31</v>
      </c>
      <c r="R19" s="71">
        <v>33.31</v>
      </c>
      <c r="S19" s="21">
        <v>37.07</v>
      </c>
      <c r="T19" s="21">
        <v>37.07</v>
      </c>
      <c r="U19" s="21">
        <v>37.07</v>
      </c>
      <c r="V19" s="21">
        <v>37.07</v>
      </c>
      <c r="W19" s="21">
        <v>37.07</v>
      </c>
      <c r="X19" s="25">
        <f>SUM(L19:W19)</f>
        <v>418.52</v>
      </c>
      <c r="Y19" s="91">
        <f>SUM(C19:W19)</f>
        <v>1046.9899999999998</v>
      </c>
    </row>
    <row r="20" spans="1:25" ht="11.25" customHeight="1">
      <c r="A20" s="69" t="s">
        <v>33</v>
      </c>
      <c r="B20" s="35" t="s">
        <v>5</v>
      </c>
      <c r="C20" s="36">
        <v>492.15</v>
      </c>
      <c r="D20" s="37">
        <v>310.72</v>
      </c>
      <c r="E20" s="36">
        <v>352.32</v>
      </c>
      <c r="F20" s="84">
        <v>244.83</v>
      </c>
      <c r="G20" s="36"/>
      <c r="H20" s="84">
        <v>0</v>
      </c>
      <c r="I20" s="36">
        <v>0</v>
      </c>
      <c r="J20" s="36">
        <v>0</v>
      </c>
      <c r="K20" s="36">
        <v>0</v>
      </c>
      <c r="L20" s="7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4"/>
      <c r="X20" s="25">
        <f t="shared" si="4"/>
        <v>0</v>
      </c>
      <c r="Y20" s="91">
        <f t="shared" si="5"/>
        <v>1400.02</v>
      </c>
    </row>
    <row r="21" spans="1:25" ht="32.25" customHeight="1">
      <c r="A21" s="69" t="s">
        <v>34</v>
      </c>
      <c r="B21" s="35" t="s">
        <v>55</v>
      </c>
      <c r="C21" s="36">
        <v>611.1</v>
      </c>
      <c r="D21" s="37">
        <v>2183.98</v>
      </c>
      <c r="E21" s="36">
        <v>2912.53</v>
      </c>
      <c r="F21" s="84">
        <v>2692.94</v>
      </c>
      <c r="G21" s="36">
        <v>1854.48</v>
      </c>
      <c r="H21" s="84">
        <v>2187.2</v>
      </c>
      <c r="I21" s="36">
        <v>2312.9</v>
      </c>
      <c r="J21" s="36">
        <v>2353.35</v>
      </c>
      <c r="K21" s="36">
        <v>2475.88</v>
      </c>
      <c r="L21" s="71">
        <v>199.43</v>
      </c>
      <c r="M21" s="21">
        <v>209.05</v>
      </c>
      <c r="N21" s="21">
        <v>165.99</v>
      </c>
      <c r="O21" s="21">
        <v>198.79</v>
      </c>
      <c r="P21" s="21">
        <v>165.38</v>
      </c>
      <c r="Q21" s="21">
        <v>126.8</v>
      </c>
      <c r="R21" s="21">
        <v>132.53</v>
      </c>
      <c r="S21" s="21">
        <v>112.33</v>
      </c>
      <c r="T21" s="21">
        <v>126.3</v>
      </c>
      <c r="U21" s="21">
        <v>261.55</v>
      </c>
      <c r="V21" s="21">
        <v>165.38</v>
      </c>
      <c r="W21" s="24">
        <v>140.71</v>
      </c>
      <c r="X21" s="25">
        <f t="shared" si="4"/>
        <v>2004.2399999999998</v>
      </c>
      <c r="Y21" s="91">
        <f t="shared" si="5"/>
        <v>21588.600000000002</v>
      </c>
    </row>
    <row r="22" spans="1:25" ht="22.5" customHeight="1">
      <c r="A22" s="69" t="s">
        <v>35</v>
      </c>
      <c r="B22" s="35" t="s">
        <v>56</v>
      </c>
      <c r="C22" s="36">
        <v>1080.28</v>
      </c>
      <c r="D22" s="37">
        <v>1187.88</v>
      </c>
      <c r="E22" s="36">
        <v>358.4</v>
      </c>
      <c r="F22" s="84">
        <v>255.31</v>
      </c>
      <c r="G22" s="36">
        <v>557.87</v>
      </c>
      <c r="H22" s="84">
        <v>376.94</v>
      </c>
      <c r="I22" s="36">
        <v>329.05</v>
      </c>
      <c r="J22" s="36">
        <v>257.45</v>
      </c>
      <c r="K22" s="36">
        <v>249.77</v>
      </c>
      <c r="L22" s="71">
        <v>15.78</v>
      </c>
      <c r="M22" s="21">
        <v>13.6</v>
      </c>
      <c r="N22" s="21">
        <v>11.86</v>
      </c>
      <c r="O22" s="21">
        <v>13.79</v>
      </c>
      <c r="P22" s="21">
        <v>1.46</v>
      </c>
      <c r="Q22" s="21">
        <v>20.68</v>
      </c>
      <c r="R22" s="21">
        <v>23.19</v>
      </c>
      <c r="S22" s="21">
        <v>27.01</v>
      </c>
      <c r="T22" s="21">
        <v>40.14</v>
      </c>
      <c r="U22" s="21">
        <v>9.93</v>
      </c>
      <c r="V22" s="21">
        <v>36.63</v>
      </c>
      <c r="W22" s="24">
        <v>12.89</v>
      </c>
      <c r="X22" s="25">
        <f t="shared" si="4"/>
        <v>226.95999999999998</v>
      </c>
      <c r="Y22" s="91">
        <f t="shared" si="5"/>
        <v>4879.910000000001</v>
      </c>
    </row>
    <row r="23" spans="1:25" ht="33" customHeight="1">
      <c r="A23" s="69" t="s">
        <v>36</v>
      </c>
      <c r="B23" s="35" t="s">
        <v>57</v>
      </c>
      <c r="C23" s="36">
        <v>327.72</v>
      </c>
      <c r="D23" s="37">
        <v>1934.46</v>
      </c>
      <c r="E23" s="36">
        <v>1862.99</v>
      </c>
      <c r="F23" s="84">
        <v>2504.88</v>
      </c>
      <c r="G23" s="36">
        <v>3217.53</v>
      </c>
      <c r="H23" s="84">
        <v>2850.23</v>
      </c>
      <c r="I23" s="36">
        <v>2406.77</v>
      </c>
      <c r="J23" s="36">
        <v>2353.79</v>
      </c>
      <c r="K23" s="36">
        <v>2784.25</v>
      </c>
      <c r="L23" s="71">
        <f>9.85+95.43+117.54</f>
        <v>222.82</v>
      </c>
      <c r="M23" s="21">
        <f>9.28+132.96+113.95</f>
        <v>256.19</v>
      </c>
      <c r="N23" s="21">
        <f>118.84+8.07+88.65</f>
        <v>215.56</v>
      </c>
      <c r="O23" s="21">
        <f>8.63+98.01+314.91</f>
        <v>421.55</v>
      </c>
      <c r="P23" s="21">
        <f>8.43+108.22+85.35</f>
        <v>202</v>
      </c>
      <c r="Q23" s="21">
        <f>9.8+75.32+151.12</f>
        <v>236.24</v>
      </c>
      <c r="R23" s="21">
        <f>9.42+127.57+68.83</f>
        <v>205.82</v>
      </c>
      <c r="S23" s="21">
        <f>8.63+78.42+109.72</f>
        <v>196.76999999999998</v>
      </c>
      <c r="T23" s="21">
        <f>6.28+69.74+99.9</f>
        <v>175.92000000000002</v>
      </c>
      <c r="U23" s="21">
        <f>6.36+111.72+283.88</f>
        <v>401.96</v>
      </c>
      <c r="V23" s="21">
        <f>7.04+70.25+73.11</f>
        <v>150.4</v>
      </c>
      <c r="W23" s="24">
        <f>7.02+212.46+122.72</f>
        <v>342.20000000000005</v>
      </c>
      <c r="X23" s="25">
        <f t="shared" si="4"/>
        <v>3027.4300000000003</v>
      </c>
      <c r="Y23" s="91">
        <f>SUM(C23:W23)</f>
        <v>23270.05</v>
      </c>
    </row>
    <row r="24" spans="1:25" ht="15.75" customHeight="1">
      <c r="A24" s="69" t="s">
        <v>46</v>
      </c>
      <c r="B24" s="35" t="s">
        <v>8</v>
      </c>
      <c r="C24" s="36">
        <v>9747.34</v>
      </c>
      <c r="D24" s="37">
        <v>18460.23</v>
      </c>
      <c r="E24" s="36">
        <v>23401.5</v>
      </c>
      <c r="F24" s="84">
        <v>29403.56</v>
      </c>
      <c r="G24" s="36">
        <v>24393.84</v>
      </c>
      <c r="H24" s="84">
        <v>19827.59</v>
      </c>
      <c r="I24" s="36">
        <v>17913.42</v>
      </c>
      <c r="J24" s="36">
        <v>17687.04</v>
      </c>
      <c r="K24" s="36">
        <v>18011.24</v>
      </c>
      <c r="L24" s="71">
        <f>3395.92-1199.73</f>
        <v>2196.19</v>
      </c>
      <c r="M24" s="21">
        <f>2454.29-731.34</f>
        <v>1722.9499999999998</v>
      </c>
      <c r="N24" s="21">
        <f>2643.64-605.01</f>
        <v>2038.6299999999999</v>
      </c>
      <c r="O24" s="21">
        <f>2456.01-905.59</f>
        <v>1550.42</v>
      </c>
      <c r="P24" s="21">
        <f>2774.02-597.8</f>
        <v>2176.2200000000003</v>
      </c>
      <c r="Q24" s="21">
        <f>2318.12-700.69</f>
        <v>1617.4299999999998</v>
      </c>
      <c r="R24" s="21">
        <f>2336.94-615.05</f>
        <v>1721.89</v>
      </c>
      <c r="S24" s="21">
        <f>6054.2-4436.54</f>
        <v>1617.6599999999999</v>
      </c>
      <c r="T24" s="21">
        <f>2104.48-563.33</f>
        <v>1541.15</v>
      </c>
      <c r="U24" s="21">
        <f>2636.39-930.64</f>
        <v>1705.75</v>
      </c>
      <c r="V24" s="21">
        <f>2297.24-582.84</f>
        <v>1714.3999999999996</v>
      </c>
      <c r="W24" s="24">
        <f>3435.93-745.54</f>
        <v>2690.39</v>
      </c>
      <c r="X24" s="25">
        <f t="shared" si="4"/>
        <v>22293.08</v>
      </c>
      <c r="Y24" s="91">
        <f t="shared" si="5"/>
        <v>201138.84000000003</v>
      </c>
    </row>
    <row r="25" spans="1:25" ht="13.5" customHeight="1" thickBot="1">
      <c r="A25" s="69" t="s">
        <v>47</v>
      </c>
      <c r="B25" s="38" t="s">
        <v>3</v>
      </c>
      <c r="C25" s="39">
        <v>1444.88</v>
      </c>
      <c r="D25" s="40">
        <v>2952.15</v>
      </c>
      <c r="E25" s="39">
        <v>2093.83</v>
      </c>
      <c r="F25" s="85">
        <v>1899.78</v>
      </c>
      <c r="G25" s="39">
        <v>1909.07</v>
      </c>
      <c r="H25" s="85">
        <v>1934.74</v>
      </c>
      <c r="I25" s="39">
        <v>1921.93</v>
      </c>
      <c r="J25" s="39">
        <v>2126.17</v>
      </c>
      <c r="K25" s="39">
        <v>2163.36</v>
      </c>
      <c r="L25" s="73">
        <f>2.89+173.15</f>
        <v>176.04</v>
      </c>
      <c r="M25" s="21">
        <f>2.68+149.88</f>
        <v>152.56</v>
      </c>
      <c r="N25" s="41">
        <v>140.66</v>
      </c>
      <c r="O25" s="41">
        <f>2.89+161.63</f>
        <v>164.51999999999998</v>
      </c>
      <c r="P25" s="41">
        <f>2.29+128.22</f>
        <v>130.51</v>
      </c>
      <c r="Q25" s="41">
        <f>3.07+171.58</f>
        <v>174.65</v>
      </c>
      <c r="R25" s="41">
        <f>2.68+149.9</f>
        <v>152.58</v>
      </c>
      <c r="S25" s="41">
        <f>2.85+149.9</f>
        <v>152.75</v>
      </c>
      <c r="T25" s="41">
        <f>2.62+138.17</f>
        <v>140.79</v>
      </c>
      <c r="U25" s="41">
        <f>3.07+161.63</f>
        <v>164.7</v>
      </c>
      <c r="V25" s="41">
        <f>2.62+138.17</f>
        <v>140.79</v>
      </c>
      <c r="W25" s="42">
        <f>3.07+161.63</f>
        <v>164.7</v>
      </c>
      <c r="X25" s="95">
        <f t="shared" si="4"/>
        <v>1855.25</v>
      </c>
      <c r="Y25" s="92">
        <f>SUM(C25:W25)</f>
        <v>20301.160000000007</v>
      </c>
    </row>
    <row r="26" spans="1:25" ht="13.5" customHeight="1" thickBot="1">
      <c r="A26" s="69"/>
      <c r="B26" s="46" t="s">
        <v>53</v>
      </c>
      <c r="C26" s="44"/>
      <c r="D26" s="45"/>
      <c r="E26" s="44"/>
      <c r="F26" s="86"/>
      <c r="G26" s="77">
        <f>G8*5%</f>
        <v>2544.9120000000003</v>
      </c>
      <c r="H26" s="93">
        <f>H8*5%</f>
        <v>2544.9120000000003</v>
      </c>
      <c r="I26" s="80">
        <f>I8*5%</f>
        <v>2544.9120000000003</v>
      </c>
      <c r="J26" s="80">
        <f>J8*5%</f>
        <v>2548.695</v>
      </c>
      <c r="K26" s="77">
        <f>K8*5%</f>
        <v>2551.632</v>
      </c>
      <c r="L26" s="78">
        <f>(L8+L9)*5%</f>
        <v>202.038</v>
      </c>
      <c r="M26" s="78">
        <f aca="true" t="shared" si="6" ref="M26:W26">(M8+M9)*5%</f>
        <v>202.038</v>
      </c>
      <c r="N26" s="78">
        <f t="shared" si="6"/>
        <v>202.038</v>
      </c>
      <c r="O26" s="78">
        <f t="shared" si="6"/>
        <v>202.038</v>
      </c>
      <c r="P26" s="78">
        <f t="shared" si="6"/>
        <v>202.038</v>
      </c>
      <c r="Q26" s="78">
        <f t="shared" si="6"/>
        <v>202.038</v>
      </c>
      <c r="R26" s="78">
        <f t="shared" si="6"/>
        <v>202.25900000000001</v>
      </c>
      <c r="S26" s="78">
        <f t="shared" si="6"/>
        <v>202.25900000000001</v>
      </c>
      <c r="T26" s="78">
        <f t="shared" si="6"/>
        <v>202.25900000000001</v>
      </c>
      <c r="U26" s="78">
        <f t="shared" si="6"/>
        <v>202.25900000000001</v>
      </c>
      <c r="V26" s="78">
        <f t="shared" si="6"/>
        <v>202.25900000000001</v>
      </c>
      <c r="W26" s="78">
        <f t="shared" si="6"/>
        <v>202.25900000000001</v>
      </c>
      <c r="X26" s="80">
        <f t="shared" si="4"/>
        <v>2425.782</v>
      </c>
      <c r="Y26" s="92"/>
    </row>
    <row r="27" spans="1:25" ht="16.5" customHeight="1" thickBot="1">
      <c r="A27" s="69" t="s">
        <v>48</v>
      </c>
      <c r="B27" s="43" t="s">
        <v>44</v>
      </c>
      <c r="C27" s="44"/>
      <c r="D27" s="45"/>
      <c r="E27" s="44"/>
      <c r="F27" s="86"/>
      <c r="G27" s="44"/>
      <c r="H27" s="86"/>
      <c r="I27" s="44"/>
      <c r="J27" s="80">
        <f aca="true" t="shared" si="7" ref="J27:W27">SUM(J8+J9-J10)-J26</f>
        <v>3925.285000000003</v>
      </c>
      <c r="K27" s="80">
        <f>SUM(K8+K9-K10)-K26</f>
        <v>-1522.1220000000053</v>
      </c>
      <c r="L27" s="79">
        <f t="shared" si="7"/>
        <v>442.8019999999997</v>
      </c>
      <c r="M27" s="80">
        <f t="shared" si="7"/>
        <v>1384.4320000000002</v>
      </c>
      <c r="N27" s="79">
        <f t="shared" si="7"/>
        <v>1195.0819999999999</v>
      </c>
      <c r="O27" s="80">
        <f t="shared" si="7"/>
        <v>1382.7119999999995</v>
      </c>
      <c r="P27" s="79">
        <f t="shared" si="7"/>
        <v>1064.7019999999993</v>
      </c>
      <c r="Q27" s="80">
        <f t="shared" si="7"/>
        <v>1520.6019999999999</v>
      </c>
      <c r="R27" s="79">
        <f t="shared" si="7"/>
        <v>1505.9809999999998</v>
      </c>
      <c r="S27" s="80">
        <f t="shared" si="7"/>
        <v>-2211.279000000001</v>
      </c>
      <c r="T27" s="79">
        <f t="shared" si="7"/>
        <v>1738.4409999999998</v>
      </c>
      <c r="U27" s="80">
        <f t="shared" si="7"/>
        <v>1206.531</v>
      </c>
      <c r="V27" s="79">
        <f t="shared" si="7"/>
        <v>1545.681</v>
      </c>
      <c r="W27" s="80">
        <f t="shared" si="7"/>
        <v>406.991</v>
      </c>
      <c r="X27" s="76">
        <f t="shared" si="4"/>
        <v>11182.677999999998</v>
      </c>
      <c r="Y27" s="67"/>
    </row>
    <row r="28" spans="1:25" ht="26.25" customHeight="1" thickBot="1">
      <c r="A28" s="69">
        <v>6</v>
      </c>
      <c r="B28" s="101" t="s">
        <v>22</v>
      </c>
      <c r="C28" s="102">
        <v>3649.75</v>
      </c>
      <c r="D28" s="103">
        <f>SUM(D8-D10)</f>
        <v>-17884.48999999999</v>
      </c>
      <c r="E28" s="97">
        <f>SUM(E8-E10)</f>
        <v>-10210.86</v>
      </c>
      <c r="F28" s="104">
        <f>SUM(F8-F10)</f>
        <v>-9098.050000000003</v>
      </c>
      <c r="G28" s="105">
        <f>SUM(G8-G10)-G26</f>
        <v>-4536.352000000003</v>
      </c>
      <c r="H28" s="106">
        <f>SUM(H8-H10)-H26</f>
        <v>3113.778000000002</v>
      </c>
      <c r="I28" s="105">
        <f>SUM(I8-I10)-I26</f>
        <v>2649.848000000002</v>
      </c>
      <c r="J28" s="105">
        <f>SUM(J8+J9-J10)-J26</f>
        <v>3925.285000000003</v>
      </c>
      <c r="K28" s="105">
        <f>SUM(K8+K9-K10)-K26</f>
        <v>-1522.1220000000053</v>
      </c>
      <c r="L28" s="107">
        <f>SUM(L8+L9-L10)-L26</f>
        <v>442.8019999999997</v>
      </c>
      <c r="M28" s="105">
        <f>SUM(M27+L28)</f>
        <v>1827.234</v>
      </c>
      <c r="N28" s="107">
        <f aca="true" t="shared" si="8" ref="N28:W28">SUM(N27+M28)</f>
        <v>3022.316</v>
      </c>
      <c r="O28" s="105">
        <f t="shared" si="8"/>
        <v>4405.027999999999</v>
      </c>
      <c r="P28" s="107">
        <f t="shared" si="8"/>
        <v>5469.729999999999</v>
      </c>
      <c r="Q28" s="105">
        <f t="shared" si="8"/>
        <v>6990.3319999999985</v>
      </c>
      <c r="R28" s="107">
        <f t="shared" si="8"/>
        <v>8496.312999999998</v>
      </c>
      <c r="S28" s="105">
        <f t="shared" si="8"/>
        <v>6285.033999999998</v>
      </c>
      <c r="T28" s="107">
        <f t="shared" si="8"/>
        <v>8023.474999999998</v>
      </c>
      <c r="U28" s="105">
        <f t="shared" si="8"/>
        <v>9230.005999999998</v>
      </c>
      <c r="V28" s="107">
        <f t="shared" si="8"/>
        <v>10775.686999999998</v>
      </c>
      <c r="W28" s="105">
        <f t="shared" si="8"/>
        <v>11182.677999999998</v>
      </c>
      <c r="X28" s="97"/>
      <c r="Y28" s="108"/>
    </row>
    <row r="29" spans="1:25" ht="23.25" customHeight="1" thickBot="1">
      <c r="A29" s="69">
        <v>7</v>
      </c>
      <c r="B29" s="49" t="s">
        <v>23</v>
      </c>
      <c r="C29" s="50">
        <v>3649.75</v>
      </c>
      <c r="D29" s="70">
        <f>SUM(D8-D10,C29)</f>
        <v>-14234.73999999999</v>
      </c>
      <c r="E29" s="58">
        <f>SUM(E8-E10,D29)</f>
        <v>-24445.59999999999</v>
      </c>
      <c r="F29" s="87">
        <f>SUM(F8-F10,E29)</f>
        <v>-33543.649999999994</v>
      </c>
      <c r="G29" s="77">
        <f>SUM(G28+F29)</f>
        <v>-38080.00199999999</v>
      </c>
      <c r="H29" s="93">
        <f>SUM(H28+G29)-0.05</f>
        <v>-34966.27399999999</v>
      </c>
      <c r="I29" s="77">
        <f>SUM(I28+H29)-0.05</f>
        <v>-32316.475999999988</v>
      </c>
      <c r="J29" s="77">
        <f>SUM(J28+I29)-0.06</f>
        <v>-28391.250999999986</v>
      </c>
      <c r="K29" s="77">
        <f>SUM(K28+J29)</f>
        <v>-29913.372999999992</v>
      </c>
      <c r="L29" s="77">
        <f>SUM(L28+K29)</f>
        <v>-29470.570999999993</v>
      </c>
      <c r="M29" s="88">
        <f>SUM(M27+L29)</f>
        <v>-28086.138999999992</v>
      </c>
      <c r="N29" s="88">
        <f aca="true" t="shared" si="9" ref="N29:V29">SUM(N27+M29)</f>
        <v>-26891.056999999993</v>
      </c>
      <c r="O29" s="88">
        <f>SUM(O27+N29)</f>
        <v>-25508.344999999994</v>
      </c>
      <c r="P29" s="88">
        <f t="shared" si="9"/>
        <v>-24443.642999999996</v>
      </c>
      <c r="Q29" s="88">
        <f t="shared" si="9"/>
        <v>-22923.040999999997</v>
      </c>
      <c r="R29" s="88">
        <f t="shared" si="9"/>
        <v>-21417.059999999998</v>
      </c>
      <c r="S29" s="88">
        <f t="shared" si="9"/>
        <v>-23628.339</v>
      </c>
      <c r="T29" s="88">
        <f t="shared" si="9"/>
        <v>-21889.898</v>
      </c>
      <c r="U29" s="88">
        <f t="shared" si="9"/>
        <v>-20683.367000000002</v>
      </c>
      <c r="V29" s="88">
        <f t="shared" si="9"/>
        <v>-19137.686</v>
      </c>
      <c r="W29" s="88">
        <f>SUM(W27+V29)</f>
        <v>-18730.695</v>
      </c>
      <c r="X29" s="28"/>
      <c r="Y29" s="29"/>
    </row>
    <row r="30" spans="1:25" ht="23.25" hidden="1" thickBot="1">
      <c r="A30" s="9">
        <v>8</v>
      </c>
      <c r="B30" s="49" t="s">
        <v>7</v>
      </c>
      <c r="C30" s="46"/>
      <c r="D30" s="51"/>
      <c r="E30" s="51"/>
      <c r="F30" s="51"/>
      <c r="G30" s="51"/>
      <c r="H30" s="51"/>
      <c r="I30" s="51"/>
      <c r="J30" s="51"/>
      <c r="K30" s="51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47"/>
      <c r="X30" s="28"/>
      <c r="Y30" s="52"/>
    </row>
    <row r="31" spans="1:25" ht="15" customHeight="1" hidden="1" thickBot="1">
      <c r="A31" s="10">
        <v>9</v>
      </c>
      <c r="B31" s="53" t="s">
        <v>41</v>
      </c>
      <c r="C31" s="54"/>
      <c r="D31" s="55"/>
      <c r="E31" s="55"/>
      <c r="F31" s="55"/>
      <c r="G31" s="55"/>
      <c r="H31" s="55"/>
      <c r="I31" s="55"/>
      <c r="J31" s="55"/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58"/>
      <c r="Y31" s="48"/>
    </row>
    <row r="32" spans="1:25" ht="0.75" customHeight="1" thickBot="1">
      <c r="A32" s="10" t="s">
        <v>40</v>
      </c>
      <c r="B32" s="59" t="s">
        <v>39</v>
      </c>
      <c r="C32" s="60"/>
      <c r="D32" s="61"/>
      <c r="E32" s="61"/>
      <c r="F32" s="61"/>
      <c r="G32" s="61"/>
      <c r="H32" s="61"/>
      <c r="I32" s="61"/>
      <c r="J32" s="61"/>
      <c r="K32" s="61"/>
      <c r="L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>
        <f>SUM(W28-W30)</f>
        <v>11182.677999999998</v>
      </c>
      <c r="X32" s="65"/>
      <c r="Y32" s="66"/>
    </row>
    <row r="33" spans="1:25" ht="24" customHeight="1" hidden="1" thickBot="1">
      <c r="A33" s="18">
        <v>11</v>
      </c>
      <c r="B33" s="59" t="s">
        <v>24</v>
      </c>
      <c r="C33" s="60"/>
      <c r="D33" s="61"/>
      <c r="E33" s="61"/>
      <c r="F33" s="61"/>
      <c r="G33" s="61"/>
      <c r="H33" s="61"/>
      <c r="I33" s="61"/>
      <c r="J33" s="61"/>
      <c r="K33" s="61"/>
      <c r="L33" s="68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>
        <f>SUM(W29-W30)</f>
        <v>-18730.695</v>
      </c>
      <c r="X33" s="65"/>
      <c r="Y33" s="66"/>
    </row>
    <row r="34" spans="2:25" ht="0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ht="12.75" hidden="1"/>
    <row r="36" ht="0.75" customHeight="1" hidden="1"/>
    <row r="37" ht="12.75" hidden="1"/>
    <row r="38" ht="12.75" hidden="1"/>
    <row r="39" ht="12" customHeight="1">
      <c r="B39" t="s">
        <v>59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2020-02-20T05:15:30Z</cp:lastPrinted>
  <dcterms:created xsi:type="dcterms:W3CDTF">2011-06-16T11:06:26Z</dcterms:created>
  <dcterms:modified xsi:type="dcterms:W3CDTF">2020-02-20T05:15:32Z</dcterms:modified>
  <cp:category/>
  <cp:version/>
  <cp:contentType/>
  <cp:contentStatus/>
</cp:coreProperties>
</file>