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<sst xmlns="http://schemas.openxmlformats.org/spreadsheetml/2006/main" count="79" uniqueCount="79">
  <si>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</si>
  <si>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</si>
  <si>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</si>
  <si>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</si>
  <si>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</si>
  <si>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</si>
  <si>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</si>
  <si>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</si>
  <si>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</si>
  <si>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</si>
  <si>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</si>
  <si>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</si>
  <si>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</si>
  <si>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</si>
  <si>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</si>
  <si>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</si>
  <si>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</si>
  <si>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</si>
  <si>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</si>
  <si>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</si>
  <si>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</si>
  <si>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</si>
  <si>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</si>
  <si>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</si>
  <si>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</si>
  <si>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</si>
  <si>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</si>
  <si>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</si>
  <si>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</si>
  <si>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</si>
  <si>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</si>
  <si>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</si>
  <si>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</si>
  <si>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</si>
  <si>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</si>
  <si>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</si>
  <si>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</si>
  <si>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</si>
  <si>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</si>
  <si>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</si>
  <si>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</si>
  <si>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</si>
  <si>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</si>
  <si>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</si>
  <si>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</si>
  <si>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пер.Крупской д.6</t>
  </si>
  <si>
    <t>за 2010 г.</t>
  </si>
  <si>
    <t>10</t>
  </si>
  <si>
    <t>Финансовый результат по дому с начала года</t>
  </si>
  <si>
    <t>Итого за 2011 г</t>
  </si>
  <si>
    <t>Проверка дымовых каналов</t>
  </si>
  <si>
    <t>11</t>
  </si>
  <si>
    <t>Результат за месяц</t>
  </si>
  <si>
    <t>Благоустройство территории</t>
  </si>
  <si>
    <t>4.12</t>
  </si>
  <si>
    <t>4.13</t>
  </si>
  <si>
    <t>Итого за 2012 г</t>
  </si>
  <si>
    <t>Итого за 2013 г</t>
  </si>
  <si>
    <t>Итого за 2014 г</t>
  </si>
  <si>
    <t>рентабельность 5%</t>
  </si>
  <si>
    <t>Итого за 2015 г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</si>
  <si>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</si>
  <si>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</si>
  <si>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</si>
  <si>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Услуги сторонних орган.</t>
  </si>
  <si>
    <t xml:space="preserve">Материалы </t>
  </si>
  <si>
    <t>Исполнитель  вед. экономист /Викторова Л.С./</t>
  </si>
  <si>
    <t>Итого за 2016 г</t>
  </si>
  <si>
    <t>Итого за 2017 г</t>
  </si>
  <si>
    <t>Начислено СОИД</t>
  </si>
  <si>
    <t>Электроэнергия СОИД</t>
  </si>
  <si>
    <t>Холодная вода СОИД</t>
  </si>
  <si>
    <t>Канализация СОИД</t>
  </si>
  <si>
    <t>Итого за 2018 г</t>
  </si>
  <si>
    <t>Итого за 2019 г</t>
  </si>
  <si>
    <t>Всего за 2010-2019</t>
  </si>
  <si>
    <t>Вывоз ТБО(Утилизация)</t>
  </si>
  <si>
    <t>Дом по пер.Крупской д.6 вступил в ООО "Наш дом" с  февраля  2010 года    тариф  9,32 руб., с 1 января 2019 года 8,7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</si>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</sst>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  <font>
      <b/>
      <i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49" fontId="0" fillId="0" borderId="0" xfId="0" applyNumberFormat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/>
    </xf>
    <xf numFmtId="0" fontId="24" fillId="0" borderId="16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left" wrapText="1"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/>
    </xf>
    <xf numFmtId="0" fontId="19" fillId="0" borderId="11" xfId="0" applyFont="1" applyBorder="1" applyAlignment="1">
      <alignment/>
    </xf>
    <xf numFmtId="49" fontId="20" fillId="0" borderId="16" xfId="0" applyNumberFormat="1" applyFont="1" applyBorder="1" applyAlignment="1">
      <alignment wrapText="1"/>
    </xf>
    <xf numFmtId="2" fontId="20" fillId="0" borderId="17" xfId="0" applyNumberFormat="1" applyFont="1" applyBorder="1" applyAlignment="1">
      <alignment wrapText="1"/>
    </xf>
    <xf numFmtId="2" fontId="20" fillId="0" borderId="22" xfId="0" applyNumberFormat="1" applyFont="1" applyBorder="1" applyAlignment="1">
      <alignment wrapText="1"/>
    </xf>
    <xf numFmtId="2" fontId="20" fillId="0" borderId="19" xfId="0" applyNumberFormat="1" applyFont="1" applyBorder="1" applyAlignment="1">
      <alignment/>
    </xf>
    <xf numFmtId="2" fontId="20" fillId="0" borderId="23" xfId="0" applyNumberFormat="1" applyFont="1" applyBorder="1" applyAlignment="1">
      <alignment/>
    </xf>
    <xf numFmtId="0" fontId="20" fillId="0" borderId="21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0" fontId="20" fillId="0" borderId="25" xfId="0" applyFont="1" applyBorder="1" applyAlignment="1">
      <alignment/>
    </xf>
    <xf numFmtId="0" fontId="20" fillId="0" borderId="15" xfId="0" applyFont="1" applyBorder="1" applyAlignment="1">
      <alignment horizontal="right" wrapText="1"/>
    </xf>
    <xf numFmtId="0" fontId="20" fillId="0" borderId="24" xfId="0" applyFont="1" applyBorder="1" applyAlignment="1">
      <alignment horizontal="right" wrapText="1"/>
    </xf>
    <xf numFmtId="0" fontId="20" fillId="0" borderId="26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 wrapText="1"/>
    </xf>
    <xf numFmtId="0" fontId="20" fillId="0" borderId="32" xfId="0" applyFont="1" applyBorder="1" applyAlignment="1">
      <alignment wrapText="1"/>
    </xf>
    <xf numFmtId="0" fontId="20" fillId="0" borderId="33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14" xfId="0" applyFont="1" applyBorder="1" applyAlignment="1">
      <alignment/>
    </xf>
    <xf numFmtId="0" fontId="20" fillId="0" borderId="31" xfId="0" applyFont="1" applyBorder="1" applyAlignment="1">
      <alignment/>
    </xf>
    <xf numFmtId="49" fontId="20" fillId="0" borderId="27" xfId="0" applyNumberFormat="1" applyFont="1" applyBorder="1" applyAlignment="1">
      <alignment horizontal="center"/>
    </xf>
    <xf numFmtId="0" fontId="20" fillId="0" borderId="35" xfId="0" applyFont="1" applyBorder="1" applyAlignment="1">
      <alignment wrapText="1"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20" fillId="2" borderId="35" xfId="0" applyFont="1" applyFill="1" applyBorder="1" applyAlignment="1">
      <alignment wrapText="1"/>
    </xf>
    <xf numFmtId="0" fontId="20" fillId="2" borderId="32" xfId="0" applyFont="1" applyFill="1" applyBorder="1" applyAlignment="1">
      <alignment wrapText="1"/>
    </xf>
    <xf numFmtId="0" fontId="20" fillId="2" borderId="33" xfId="0" applyFont="1" applyFill="1" applyBorder="1" applyAlignment="1">
      <alignment wrapText="1"/>
    </xf>
    <xf numFmtId="0" fontId="19" fillId="2" borderId="36" xfId="0" applyFont="1" applyFill="1" applyBorder="1" applyAlignment="1">
      <alignment/>
    </xf>
    <xf numFmtId="0" fontId="19" fillId="2" borderId="38" xfId="0" applyFont="1" applyFill="1" applyBorder="1" applyAlignment="1">
      <alignment/>
    </xf>
    <xf numFmtId="0" fontId="19" fillId="2" borderId="33" xfId="0" applyFont="1" applyFill="1" applyBorder="1" applyAlignment="1">
      <alignment/>
    </xf>
    <xf numFmtId="0" fontId="19" fillId="2" borderId="12" xfId="0" applyFont="1" applyFill="1" applyBorder="1" applyAlignment="1">
      <alignment/>
    </xf>
    <xf numFmtId="0" fontId="20" fillId="2" borderId="11" xfId="0" applyFont="1" applyFill="1" applyBorder="1" applyAlignment="1">
      <alignment/>
    </xf>
    <xf numFmtId="49" fontId="20" fillId="0" borderId="32" xfId="0" applyNumberFormat="1" applyFont="1" applyBorder="1" applyAlignment="1">
      <alignment horizontal="center"/>
    </xf>
    <xf numFmtId="0" fontId="19" fillId="2" borderId="19" xfId="0" applyFont="1" applyFill="1" applyBorder="1" applyAlignment="1">
      <alignment/>
    </xf>
    <xf numFmtId="0" fontId="19" fillId="2" borderId="32" xfId="0" applyFont="1" applyFill="1" applyBorder="1" applyAlignment="1">
      <alignment/>
    </xf>
    <xf numFmtId="0" fontId="23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/>
    </xf>
    <xf numFmtId="2" fontId="20" fillId="0" borderId="41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4" fillId="0" borderId="43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2" fontId="20" fillId="0" borderId="38" xfId="0" applyNumberFormat="1" applyFont="1" applyBorder="1" applyAlignment="1">
      <alignment/>
    </xf>
    <xf numFmtId="2" fontId="20" fillId="0" borderId="12" xfId="0" applyNumberFormat="1" applyFont="1" applyBorder="1" applyAlignment="1">
      <alignment/>
    </xf>
    <xf numFmtId="2" fontId="20" fillId="0" borderId="44" xfId="0" applyNumberFormat="1" applyFont="1" applyBorder="1" applyAlignment="1">
      <alignment/>
    </xf>
    <xf numFmtId="2" fontId="20" fillId="0" borderId="11" xfId="0" applyNumberFormat="1" applyFont="1" applyBorder="1" applyAlignment="1">
      <alignment/>
    </xf>
    <xf numFmtId="0" fontId="25" fillId="0" borderId="11" xfId="0" applyFont="1" applyBorder="1" applyAlignment="1">
      <alignment/>
    </xf>
    <xf numFmtId="2" fontId="20" fillId="0" borderId="43" xfId="0" applyNumberFormat="1" applyFont="1" applyBorder="1" applyAlignment="1">
      <alignment wrapText="1"/>
    </xf>
    <xf numFmtId="0" fontId="20" fillId="0" borderId="45" xfId="0" applyFont="1" applyBorder="1" applyAlignment="1">
      <alignment wrapText="1"/>
    </xf>
    <xf numFmtId="0" fontId="20" fillId="0" borderId="45" xfId="0" applyFont="1" applyBorder="1" applyAlignment="1">
      <alignment horizontal="right" wrapText="1"/>
    </xf>
    <xf numFmtId="0" fontId="20" fillId="0" borderId="46" xfId="0" applyFont="1" applyBorder="1" applyAlignment="1">
      <alignment wrapText="1"/>
    </xf>
    <xf numFmtId="2" fontId="20" fillId="0" borderId="33" xfId="0" applyNumberFormat="1" applyFont="1" applyBorder="1" applyAlignment="1">
      <alignment/>
    </xf>
    <xf numFmtId="0" fontId="20" fillId="0" borderId="47" xfId="0" applyFont="1" applyBorder="1" applyAlignment="1">
      <alignment wrapText="1"/>
    </xf>
    <xf numFmtId="2" fontId="20" fillId="0" borderId="34" xfId="0" applyNumberFormat="1" applyFont="1" applyBorder="1" applyAlignment="1">
      <alignment/>
    </xf>
    <xf numFmtId="0" fontId="23" fillId="0" borderId="44" xfId="0" applyFont="1" applyBorder="1" applyAlignment="1">
      <alignment horizontal="center" vertical="center" wrapText="1"/>
    </xf>
    <xf numFmtId="0" fontId="20" fillId="0" borderId="41" xfId="0" applyFont="1" applyBorder="1" applyAlignment="1">
      <alignment/>
    </xf>
    <xf numFmtId="0" fontId="24" fillId="0" borderId="48" xfId="0" applyFont="1" applyBorder="1" applyAlignment="1">
      <alignment wrapText="1"/>
    </xf>
    <xf numFmtId="2" fontId="20" fillId="0" borderId="39" xfId="0" applyNumberFormat="1" applyFont="1" applyBorder="1" applyAlignment="1">
      <alignment/>
    </xf>
    <xf numFmtId="49" fontId="26" fillId="0" borderId="15" xfId="0" applyNumberFormat="1" applyFont="1" applyBorder="1" applyAlignment="1">
      <alignment horizontal="center"/>
    </xf>
    <xf numFmtId="0" fontId="23" fillId="0" borderId="11" xfId="0" applyFont="1" applyBorder="1" applyAlignment="1">
      <alignment wrapText="1"/>
    </xf>
    <xf numFmtId="0" fontId="26" fillId="0" borderId="34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44" xfId="0" applyFont="1" applyBorder="1" applyAlignment="1">
      <alignment/>
    </xf>
    <xf numFmtId="0" fontId="27" fillId="0" borderId="11" xfId="0" applyFont="1" applyBorder="1" applyAlignment="1">
      <alignment/>
    </xf>
    <xf numFmtId="0" fontId="21" fillId="0" borderId="0" xfId="0" applyFont="1" applyAlignment="1">
      <alignment/>
    </xf>
    <xf numFmtId="0" fontId="26" fillId="0" borderId="49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26" fillId="0" borderId="14" xfId="0" applyFont="1" applyBorder="1" applyAlignment="1">
      <alignment/>
    </xf>
    <xf numFmtId="2" fontId="26" fillId="0" borderId="34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2" fontId="26" fillId="0" borderId="11" xfId="0" applyNumberFormat="1" applyFont="1" applyBorder="1" applyAlignment="1">
      <alignment/>
    </xf>
    <xf numFmtId="2" fontId="26" fillId="0" borderId="44" xfId="0" applyNumberFormat="1" applyFont="1" applyBorder="1" applyAlignment="1">
      <alignment/>
    </xf>
    <xf numFmtId="0" fontId="26" fillId="0" borderId="11" xfId="0" applyFont="1" applyBorder="1" applyAlignment="1">
      <alignment/>
    </xf>
    <xf numFmtId="0" fontId="25" fillId="0" borderId="16" xfId="0" applyFont="1" applyBorder="1" applyAlignment="1">
      <alignment/>
    </xf>
    <xf numFmtId="0" fontId="28" fillId="0" borderId="11" xfId="0" applyFont="1" applyBorder="1" applyAlignment="1">
      <alignment horizontal="center" vertical="center" wrapText="1"/>
    </xf>
    <xf numFmtId="2" fontId="20" fillId="0" borderId="32" xfId="0" applyNumberFormat="1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B1">
      <selection activeCell="B2" sqref="B2:Y2"/>
    </sheetView>
  </sheetViews>
  <sheetFormatPr defaultColWidth="9.00390625" defaultRowHeight="12.75"/>
  <cols>
    <col min="1" max="1" width="3.875" style="8" hidden="1" customWidth="1"/>
    <col min="2" max="2" width="20.75390625" style="0" customWidth="1"/>
    <col min="3" max="3" width="7.75390625" style="0" hidden="1" customWidth="1"/>
    <col min="4" max="4" width="7.625" style="0" hidden="1" customWidth="1"/>
    <col min="5" max="5" width="9.75390625" style="0" hidden="1" customWidth="1"/>
    <col min="6" max="6" width="9.25390625" style="0" hidden="1" customWidth="1"/>
    <col min="7" max="7" width="9.00390625" style="0" hidden="1" customWidth="1"/>
    <col min="8" max="8" width="8.875" style="0" hidden="1" customWidth="1"/>
    <col min="9" max="9" width="9.375" style="0" hidden="1" customWidth="1"/>
    <col min="10" max="10" width="9.875" style="0" hidden="1" customWidth="1"/>
    <col min="11" max="11" width="9.00390625" style="0" hidden="1" customWidth="1"/>
    <col min="12" max="13" width="8.875" style="0" customWidth="1"/>
    <col min="14" max="15" width="8.25390625" style="0" customWidth="1"/>
    <col min="16" max="16" width="8.125" style="0" customWidth="1"/>
    <col min="17" max="17" width="8.875" style="0" customWidth="1"/>
    <col min="18" max="18" width="8.25390625" style="0" customWidth="1"/>
    <col min="19" max="19" width="8.625" style="0" customWidth="1"/>
    <col min="20" max="20" width="8.75390625" style="0" customWidth="1"/>
    <col min="21" max="21" width="8.875" style="0" customWidth="1"/>
    <col min="22" max="22" width="8.25390625" style="0" customWidth="1"/>
    <col min="23" max="23" width="9.00390625" style="0" customWidth="1"/>
    <col min="24" max="24" width="9.125" style="0" customWidth="1"/>
    <col min="25" max="25" width="9.625" style="0" customWidth="1"/>
  </cols>
  <sheetData>
    <row r="1" spans="2:30" ht="12.75" customHeight="1">
      <c r="B1" s="109" t="s">
        <v>78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109" t="s">
        <v>77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10"/>
      <c r="V2" s="110"/>
      <c r="W2" s="110"/>
      <c r="X2" s="110"/>
      <c r="Y2" s="110"/>
      <c r="Z2" s="4"/>
      <c r="AA2" s="4"/>
      <c r="AB2" s="4"/>
      <c r="AC2" s="4"/>
      <c r="AD2" s="4"/>
    </row>
    <row r="3" spans="2:30" ht="12.75" customHeight="1">
      <c r="B3" s="108" t="s">
        <v>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3"/>
      <c r="AA3" s="3"/>
      <c r="AB3" s="3"/>
      <c r="AC3" s="3"/>
      <c r="AD3" s="3"/>
    </row>
    <row r="4" spans="2:30" ht="15" customHeight="1">
      <c r="B4" s="107" t="s">
        <v>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2"/>
      <c r="AA4" s="2"/>
      <c r="AB4" s="2"/>
      <c r="AC4" s="2"/>
      <c r="AD4" s="2"/>
    </row>
    <row r="5" spans="2:30" ht="16.5" customHeight="1" thickBot="1">
      <c r="B5" s="107" t="s">
        <v>45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2"/>
      <c r="AA5" s="2"/>
      <c r="AB5" s="2"/>
      <c r="AC5" s="2"/>
      <c r="AD5" s="2"/>
    </row>
    <row r="6" spans="1:30" ht="30.75" customHeight="1" thickBot="1">
      <c r="A6" s="9" t="s">
        <v>26</v>
      </c>
      <c r="B6" s="10" t="s">
        <v>6</v>
      </c>
      <c r="C6" s="11" t="s">
        <v>46</v>
      </c>
      <c r="D6" s="66" t="s">
        <v>49</v>
      </c>
      <c r="E6" s="14" t="s">
        <v>56</v>
      </c>
      <c r="F6" s="14" t="s">
        <v>57</v>
      </c>
      <c r="G6" s="14" t="s">
        <v>58</v>
      </c>
      <c r="H6" s="14" t="s">
        <v>60</v>
      </c>
      <c r="I6" s="14" t="s">
        <v>67</v>
      </c>
      <c r="J6" s="14" t="s">
        <v>68</v>
      </c>
      <c r="K6" s="14" t="s">
        <v>73</v>
      </c>
      <c r="L6" s="14" t="s">
        <v>10</v>
      </c>
      <c r="M6" s="84" t="s">
        <v>11</v>
      </c>
      <c r="N6" s="12" t="s">
        <v>12</v>
      </c>
      <c r="O6" s="12" t="s">
        <v>13</v>
      </c>
      <c r="P6" s="12" t="s">
        <v>14</v>
      </c>
      <c r="Q6" s="12" t="s">
        <v>15</v>
      </c>
      <c r="R6" s="12" t="s">
        <v>16</v>
      </c>
      <c r="S6" s="12" t="s">
        <v>17</v>
      </c>
      <c r="T6" s="12" t="s">
        <v>18</v>
      </c>
      <c r="U6" s="12" t="s">
        <v>19</v>
      </c>
      <c r="V6" s="12" t="s">
        <v>21</v>
      </c>
      <c r="W6" s="13" t="s">
        <v>20</v>
      </c>
      <c r="X6" s="14" t="s">
        <v>74</v>
      </c>
      <c r="Y6" s="105" t="s">
        <v>75</v>
      </c>
      <c r="Z6" s="1"/>
      <c r="AA6" s="1"/>
      <c r="AB6" s="1"/>
      <c r="AC6" s="1"/>
      <c r="AD6" s="1"/>
    </row>
    <row r="7" spans="1:25" ht="13.5" thickBot="1">
      <c r="A7" s="15" t="s">
        <v>27</v>
      </c>
      <c r="B7" s="16" t="s">
        <v>1</v>
      </c>
      <c r="C7" s="70">
        <v>79732.29</v>
      </c>
      <c r="D7" s="71">
        <v>95720.74</v>
      </c>
      <c r="E7" s="17">
        <v>97271.89</v>
      </c>
      <c r="F7" s="71">
        <v>96993.28</v>
      </c>
      <c r="G7" s="71">
        <v>96585.12</v>
      </c>
      <c r="H7" s="71">
        <v>96529.2</v>
      </c>
      <c r="I7" s="86">
        <v>96529.2</v>
      </c>
      <c r="J7" s="71">
        <v>96713.67</v>
      </c>
      <c r="K7" s="71">
        <v>97116.31</v>
      </c>
      <c r="L7" s="85">
        <v>7545.51</v>
      </c>
      <c r="M7" s="85">
        <v>7545.51</v>
      </c>
      <c r="N7" s="85">
        <v>7545.51</v>
      </c>
      <c r="O7" s="85">
        <v>7545.51</v>
      </c>
      <c r="P7" s="85">
        <v>7545.51</v>
      </c>
      <c r="Q7" s="85">
        <v>7545.51</v>
      </c>
      <c r="R7" s="85">
        <v>7545.51</v>
      </c>
      <c r="S7" s="85">
        <v>7545.51</v>
      </c>
      <c r="T7" s="85">
        <v>7545.51</v>
      </c>
      <c r="U7" s="85">
        <v>7545.51</v>
      </c>
      <c r="V7" s="85">
        <v>7545.51</v>
      </c>
      <c r="W7" s="85">
        <v>7545.51</v>
      </c>
      <c r="X7" s="20">
        <f>SUM(L7:W7)</f>
        <v>90546.12</v>
      </c>
      <c r="Y7" s="104">
        <f>SUM(C7:W7)</f>
        <v>943737.8200000001</v>
      </c>
    </row>
    <row r="8" spans="1:25" ht="13.5" thickBot="1">
      <c r="A8" s="15"/>
      <c r="B8" s="16" t="s">
        <v>69</v>
      </c>
      <c r="C8" s="70"/>
      <c r="D8" s="17"/>
      <c r="E8" s="17"/>
      <c r="F8" s="17"/>
      <c r="G8" s="17"/>
      <c r="H8" s="17"/>
      <c r="I8" s="70">
        <v>0</v>
      </c>
      <c r="J8" s="17">
        <v>10031.29</v>
      </c>
      <c r="K8" s="17">
        <v>8458.01</v>
      </c>
      <c r="L8" s="85">
        <f aca="true" t="shared" si="0" ref="L8:Q8">39.29+34.77</f>
        <v>74.06</v>
      </c>
      <c r="M8" s="85">
        <f t="shared" si="0"/>
        <v>74.06</v>
      </c>
      <c r="N8" s="85">
        <f t="shared" si="0"/>
        <v>74.06</v>
      </c>
      <c r="O8" s="85">
        <f t="shared" si="0"/>
        <v>74.06</v>
      </c>
      <c r="P8" s="85">
        <f t="shared" si="0"/>
        <v>74.06</v>
      </c>
      <c r="Q8" s="85">
        <f t="shared" si="0"/>
        <v>74.06</v>
      </c>
      <c r="R8" s="19">
        <f aca="true" t="shared" si="1" ref="R8:W8">40.01+38.68</f>
        <v>78.69</v>
      </c>
      <c r="S8" s="19">
        <f t="shared" si="1"/>
        <v>78.69</v>
      </c>
      <c r="T8" s="19">
        <f t="shared" si="1"/>
        <v>78.69</v>
      </c>
      <c r="U8" s="19">
        <f t="shared" si="1"/>
        <v>78.69</v>
      </c>
      <c r="V8" s="19">
        <f t="shared" si="1"/>
        <v>78.69</v>
      </c>
      <c r="W8" s="19">
        <f t="shared" si="1"/>
        <v>78.69</v>
      </c>
      <c r="X8" s="20">
        <f>SUM(L8:W8)</f>
        <v>916.5000000000002</v>
      </c>
      <c r="Y8" s="104">
        <f>SUM(C8:W8)</f>
        <v>19405.800000000003</v>
      </c>
    </row>
    <row r="9" spans="1:25" s="95" customFormat="1" ht="13.5" thickBot="1">
      <c r="A9" s="88" t="s">
        <v>28</v>
      </c>
      <c r="B9" s="89" t="s">
        <v>2</v>
      </c>
      <c r="C9" s="90">
        <f aca="true" t="shared" si="2" ref="C9:L9">SUM(C10:C24)</f>
        <v>73088.87999999999</v>
      </c>
      <c r="D9" s="91">
        <f t="shared" si="2"/>
        <v>90519.65000000001</v>
      </c>
      <c r="E9" s="91">
        <f t="shared" si="2"/>
        <v>91036.26</v>
      </c>
      <c r="F9" s="91">
        <f t="shared" si="2"/>
        <v>91570.27</v>
      </c>
      <c r="G9" s="91">
        <f t="shared" si="2"/>
        <v>95978.81999999999</v>
      </c>
      <c r="H9" s="91">
        <f>SUM(H10:H24)</f>
        <v>96619.23</v>
      </c>
      <c r="I9" s="92">
        <f>SUM(I10:I24)</f>
        <v>87772.02000000002</v>
      </c>
      <c r="J9" s="91">
        <f>SUM(J10:J24)</f>
        <v>101495.77999999998</v>
      </c>
      <c r="K9" s="91">
        <f t="shared" si="2"/>
        <v>118191.05</v>
      </c>
      <c r="L9" s="93">
        <f t="shared" si="2"/>
        <v>7295.07</v>
      </c>
      <c r="M9" s="93">
        <f aca="true" t="shared" si="3" ref="M9:W9">SUM(M10:M24)</f>
        <v>6105.360000000001</v>
      </c>
      <c r="N9" s="93">
        <f t="shared" si="3"/>
        <v>5944.25</v>
      </c>
      <c r="O9" s="93">
        <f t="shared" si="3"/>
        <v>6428.45</v>
      </c>
      <c r="P9" s="93">
        <f t="shared" si="3"/>
        <v>6196.58</v>
      </c>
      <c r="Q9" s="93">
        <f t="shared" si="3"/>
        <v>6018.46</v>
      </c>
      <c r="R9" s="93">
        <f t="shared" si="3"/>
        <v>6221.1</v>
      </c>
      <c r="S9" s="93">
        <f t="shared" si="3"/>
        <v>10770.329999999998</v>
      </c>
      <c r="T9" s="93">
        <f t="shared" si="3"/>
        <v>5829.38</v>
      </c>
      <c r="U9" s="93">
        <f t="shared" si="3"/>
        <v>6848.2</v>
      </c>
      <c r="V9" s="93">
        <f t="shared" si="3"/>
        <v>6193.93</v>
      </c>
      <c r="W9" s="90">
        <f t="shared" si="3"/>
        <v>6418.720000000001</v>
      </c>
      <c r="X9" s="91">
        <f>SUM(L9:W9)</f>
        <v>80269.82999999999</v>
      </c>
      <c r="Y9" s="94">
        <f>SUM(C9:W9)</f>
        <v>926541.7899999998</v>
      </c>
    </row>
    <row r="10" spans="1:25" ht="13.5" thickBot="1">
      <c r="A10" s="15" t="s">
        <v>29</v>
      </c>
      <c r="B10" s="26" t="s">
        <v>76</v>
      </c>
      <c r="C10" s="27">
        <v>16350.03</v>
      </c>
      <c r="D10" s="28">
        <v>19985.14</v>
      </c>
      <c r="E10" s="27">
        <v>19848.5</v>
      </c>
      <c r="F10" s="27">
        <v>21282.84</v>
      </c>
      <c r="G10" s="77">
        <v>21867.84</v>
      </c>
      <c r="H10" s="27">
        <v>20899.09</v>
      </c>
      <c r="I10" s="77">
        <v>24250.86</v>
      </c>
      <c r="J10" s="27">
        <v>25719.16</v>
      </c>
      <c r="K10" s="27">
        <v>23830.73</v>
      </c>
      <c r="L10" s="68"/>
      <c r="M10" s="29"/>
      <c r="N10" s="29"/>
      <c r="O10" s="29">
        <v>42.21</v>
      </c>
      <c r="P10" s="29">
        <v>32.25</v>
      </c>
      <c r="Q10" s="29">
        <v>14.13</v>
      </c>
      <c r="R10" s="29">
        <v>37.23</v>
      </c>
      <c r="S10" s="29">
        <v>27.5</v>
      </c>
      <c r="T10" s="29">
        <v>6.51</v>
      </c>
      <c r="U10" s="29">
        <v>23.27</v>
      </c>
      <c r="V10" s="29">
        <v>19.38</v>
      </c>
      <c r="W10" s="30">
        <v>13.12</v>
      </c>
      <c r="X10" s="24">
        <f aca="true" t="shared" si="4" ref="X10:X26">SUM(L10:W10)</f>
        <v>215.6</v>
      </c>
      <c r="Y10" s="76">
        <f aca="true" t="shared" si="5" ref="Y10:Y23">SUM(C10:W10)</f>
        <v>194249.79</v>
      </c>
    </row>
    <row r="11" spans="1:25" ht="12" customHeight="1" thickBot="1">
      <c r="A11" s="15" t="s">
        <v>30</v>
      </c>
      <c r="B11" s="31" t="s">
        <v>64</v>
      </c>
      <c r="C11" s="32">
        <v>23872.12</v>
      </c>
      <c r="D11" s="33">
        <v>11880.37</v>
      </c>
      <c r="E11" s="32">
        <v>682.61</v>
      </c>
      <c r="F11" s="32">
        <v>4609.29</v>
      </c>
      <c r="G11" s="78">
        <v>1415.3</v>
      </c>
      <c r="H11" s="32">
        <v>1533.55</v>
      </c>
      <c r="I11" s="78">
        <v>61.15</v>
      </c>
      <c r="J11" s="32">
        <v>400</v>
      </c>
      <c r="K11" s="32">
        <v>9180.72</v>
      </c>
      <c r="L11" s="67">
        <v>872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21"/>
      <c r="X11" s="34">
        <f t="shared" si="4"/>
        <v>872</v>
      </c>
      <c r="Y11" s="76">
        <f t="shared" si="5"/>
        <v>54507.11000000001</v>
      </c>
    </row>
    <row r="12" spans="1:25" ht="15" customHeight="1" thickBot="1">
      <c r="A12" s="15" t="s">
        <v>31</v>
      </c>
      <c r="B12" s="22" t="s">
        <v>4</v>
      </c>
      <c r="C12" s="35">
        <v>0</v>
      </c>
      <c r="D12" s="36">
        <v>0</v>
      </c>
      <c r="E12" s="35">
        <v>3531.46</v>
      </c>
      <c r="F12" s="35">
        <v>0</v>
      </c>
      <c r="G12" s="79"/>
      <c r="H12" s="35">
        <v>5911.2</v>
      </c>
      <c r="I12" s="79">
        <v>0</v>
      </c>
      <c r="J12" s="35">
        <v>0</v>
      </c>
      <c r="K12" s="35">
        <v>9863.14</v>
      </c>
      <c r="L12" s="67"/>
      <c r="M12" s="18"/>
      <c r="N12" s="18"/>
      <c r="O12" s="18"/>
      <c r="P12" s="18"/>
      <c r="Q12" s="18"/>
      <c r="R12" s="18"/>
      <c r="S12" s="18">
        <v>4423.4</v>
      </c>
      <c r="T12" s="18"/>
      <c r="U12" s="18"/>
      <c r="V12" s="18"/>
      <c r="W12" s="21"/>
      <c r="X12" s="24">
        <f t="shared" si="4"/>
        <v>4423.4</v>
      </c>
      <c r="Y12" s="76">
        <f t="shared" si="5"/>
        <v>23729.199999999997</v>
      </c>
    </row>
    <row r="13" spans="1:25" ht="21.75" customHeight="1" thickBot="1">
      <c r="A13" s="15" t="s">
        <v>32</v>
      </c>
      <c r="B13" s="22" t="s">
        <v>50</v>
      </c>
      <c r="C13" s="35">
        <v>0</v>
      </c>
      <c r="D13" s="36">
        <v>1091.63</v>
      </c>
      <c r="E13" s="35">
        <v>0</v>
      </c>
      <c r="F13" s="35">
        <v>0</v>
      </c>
      <c r="G13" s="79"/>
      <c r="H13" s="35">
        <v>0</v>
      </c>
      <c r="I13" s="79">
        <v>1600</v>
      </c>
      <c r="J13" s="35">
        <v>0</v>
      </c>
      <c r="K13" s="35">
        <v>0</v>
      </c>
      <c r="L13" s="6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21"/>
      <c r="X13" s="24">
        <f t="shared" si="4"/>
        <v>0</v>
      </c>
      <c r="Y13" s="76">
        <f t="shared" si="5"/>
        <v>2691.63</v>
      </c>
    </row>
    <row r="14" spans="1:25" ht="15" customHeight="1" thickBot="1">
      <c r="A14" s="15" t="s">
        <v>33</v>
      </c>
      <c r="B14" s="31" t="s">
        <v>65</v>
      </c>
      <c r="C14" s="32">
        <v>4014.88</v>
      </c>
      <c r="D14" s="33">
        <v>2287.45</v>
      </c>
      <c r="E14" s="32">
        <v>5926.64</v>
      </c>
      <c r="F14" s="32">
        <v>3444.22</v>
      </c>
      <c r="G14" s="78">
        <v>12228.74</v>
      </c>
      <c r="H14" s="32">
        <v>1549.59</v>
      </c>
      <c r="I14" s="78">
        <v>1208.38</v>
      </c>
      <c r="J14" s="32">
        <v>170</v>
      </c>
      <c r="K14" s="32">
        <v>0</v>
      </c>
      <c r="L14" s="67"/>
      <c r="M14" s="18"/>
      <c r="N14" s="18"/>
      <c r="O14" s="18"/>
      <c r="P14" s="18"/>
      <c r="Q14" s="18"/>
      <c r="R14" s="18"/>
      <c r="S14" s="18">
        <v>385</v>
      </c>
      <c r="T14" s="18"/>
      <c r="U14" s="18"/>
      <c r="V14" s="18"/>
      <c r="W14" s="21"/>
      <c r="X14" s="34">
        <f t="shared" si="4"/>
        <v>385</v>
      </c>
      <c r="Y14" s="76">
        <f>SUM(C14:W14)</f>
        <v>31214.9</v>
      </c>
    </row>
    <row r="15" spans="1:25" ht="24" customHeight="1" thickBot="1">
      <c r="A15" s="15" t="s">
        <v>34</v>
      </c>
      <c r="B15" s="31" t="s">
        <v>53</v>
      </c>
      <c r="C15" s="32"/>
      <c r="D15" s="33">
        <v>0</v>
      </c>
      <c r="E15" s="32">
        <v>256</v>
      </c>
      <c r="F15" s="32">
        <v>0</v>
      </c>
      <c r="G15" s="78">
        <v>16.97</v>
      </c>
      <c r="H15" s="32">
        <v>52.96</v>
      </c>
      <c r="I15" s="78">
        <v>51</v>
      </c>
      <c r="J15" s="32">
        <v>334.18</v>
      </c>
      <c r="K15" s="32">
        <v>78</v>
      </c>
      <c r="L15" s="67">
        <v>64.55</v>
      </c>
      <c r="M15" s="18">
        <v>33</v>
      </c>
      <c r="N15" s="18"/>
      <c r="O15" s="18"/>
      <c r="P15" s="18"/>
      <c r="Q15" s="18"/>
      <c r="R15" s="18"/>
      <c r="S15" s="18"/>
      <c r="T15" s="18"/>
      <c r="U15" s="18"/>
      <c r="V15" s="18"/>
      <c r="W15" s="21"/>
      <c r="X15" s="24">
        <f>SUM(L15:W15)</f>
        <v>97.55</v>
      </c>
      <c r="Y15" s="76">
        <f>SUM(C15:W15)</f>
        <v>886.66</v>
      </c>
    </row>
    <row r="16" spans="1:25" ht="12" customHeight="1" thickBot="1">
      <c r="A16" s="15" t="s">
        <v>35</v>
      </c>
      <c r="B16" s="31" t="s">
        <v>70</v>
      </c>
      <c r="C16" s="32">
        <v>2081.42</v>
      </c>
      <c r="D16" s="33">
        <v>2634.73</v>
      </c>
      <c r="E16" s="32">
        <v>1492.7</v>
      </c>
      <c r="F16" s="32">
        <v>0</v>
      </c>
      <c r="G16" s="78"/>
      <c r="H16" s="32">
        <v>0</v>
      </c>
      <c r="I16" s="78">
        <v>0</v>
      </c>
      <c r="J16" s="32">
        <v>9418.08</v>
      </c>
      <c r="K16" s="32">
        <v>7572.52</v>
      </c>
      <c r="L16" s="67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21"/>
      <c r="X16" s="24">
        <f t="shared" si="4"/>
        <v>0</v>
      </c>
      <c r="Y16" s="76">
        <f t="shared" si="5"/>
        <v>23199.45</v>
      </c>
    </row>
    <row r="17" spans="1:25" ht="12" customHeight="1" thickBot="1">
      <c r="A17" s="15"/>
      <c r="B17" s="31" t="s">
        <v>71</v>
      </c>
      <c r="C17" s="32"/>
      <c r="D17" s="33"/>
      <c r="E17" s="32"/>
      <c r="F17" s="32"/>
      <c r="G17" s="78"/>
      <c r="H17" s="32"/>
      <c r="I17" s="78"/>
      <c r="J17" s="32">
        <v>372.71</v>
      </c>
      <c r="K17" s="32">
        <v>469.92</v>
      </c>
      <c r="L17" s="67">
        <v>39.28</v>
      </c>
      <c r="M17" s="67">
        <v>39.28</v>
      </c>
      <c r="N17" s="67">
        <v>39.28</v>
      </c>
      <c r="O17" s="67">
        <v>39.28</v>
      </c>
      <c r="P17" s="67">
        <v>39.28</v>
      </c>
      <c r="Q17" s="67">
        <v>39.28</v>
      </c>
      <c r="R17" s="67">
        <v>39.28</v>
      </c>
      <c r="S17" s="18">
        <v>40.72</v>
      </c>
      <c r="T17" s="18">
        <v>40.72</v>
      </c>
      <c r="U17" s="18">
        <v>40.72</v>
      </c>
      <c r="V17" s="18">
        <v>40.72</v>
      </c>
      <c r="W17" s="18">
        <v>40.72</v>
      </c>
      <c r="X17" s="24">
        <f>SUM(L17:W17)</f>
        <v>478.5600000000002</v>
      </c>
      <c r="Y17" s="76">
        <f>SUM(C17:W17)</f>
        <v>1321.19</v>
      </c>
    </row>
    <row r="18" spans="1:25" ht="12" customHeight="1" thickBot="1">
      <c r="A18" s="15"/>
      <c r="B18" s="31" t="s">
        <v>72</v>
      </c>
      <c r="C18" s="32"/>
      <c r="D18" s="33"/>
      <c r="E18" s="32"/>
      <c r="F18" s="32"/>
      <c r="G18" s="78"/>
      <c r="H18" s="32"/>
      <c r="I18" s="78"/>
      <c r="J18" s="32">
        <v>240.54</v>
      </c>
      <c r="K18" s="32">
        <v>415.5</v>
      </c>
      <c r="L18" s="67">
        <v>34.77</v>
      </c>
      <c r="M18" s="67">
        <v>34.77</v>
      </c>
      <c r="N18" s="67">
        <v>34.77</v>
      </c>
      <c r="O18" s="67">
        <v>34.77</v>
      </c>
      <c r="P18" s="67">
        <v>34.77</v>
      </c>
      <c r="Q18" s="67">
        <v>34.77</v>
      </c>
      <c r="R18" s="67">
        <v>34.77</v>
      </c>
      <c r="S18" s="18">
        <v>38.69</v>
      </c>
      <c r="T18" s="18">
        <v>38.69</v>
      </c>
      <c r="U18" s="18">
        <v>38.69</v>
      </c>
      <c r="V18" s="18">
        <v>38.69</v>
      </c>
      <c r="W18" s="18">
        <v>38.69</v>
      </c>
      <c r="X18" s="24">
        <f>SUM(L18:W18)</f>
        <v>436.84000000000003</v>
      </c>
      <c r="Y18" s="76">
        <f>SUM(C18:W18)</f>
        <v>1092.88</v>
      </c>
    </row>
    <row r="19" spans="1:25" ht="13.5" customHeight="1" thickBot="1">
      <c r="A19" s="15" t="s">
        <v>36</v>
      </c>
      <c r="B19" s="31" t="s">
        <v>5</v>
      </c>
      <c r="C19" s="32">
        <v>1021.03</v>
      </c>
      <c r="D19" s="33">
        <v>812.02</v>
      </c>
      <c r="E19" s="32">
        <v>551.55</v>
      </c>
      <c r="F19" s="32">
        <v>583.51</v>
      </c>
      <c r="G19" s="78"/>
      <c r="H19" s="32">
        <v>0</v>
      </c>
      <c r="I19" s="78">
        <v>0</v>
      </c>
      <c r="J19" s="32">
        <v>0</v>
      </c>
      <c r="K19" s="32">
        <v>0</v>
      </c>
      <c r="L19" s="67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21"/>
      <c r="X19" s="34">
        <f t="shared" si="4"/>
        <v>0</v>
      </c>
      <c r="Y19" s="76">
        <f t="shared" si="5"/>
        <v>2968.1099999999997</v>
      </c>
    </row>
    <row r="20" spans="1:25" ht="33.75" customHeight="1" thickBot="1">
      <c r="A20" s="15" t="s">
        <v>37</v>
      </c>
      <c r="B20" s="31" t="s">
        <v>61</v>
      </c>
      <c r="C20" s="32">
        <v>1189.24</v>
      </c>
      <c r="D20" s="33">
        <v>4232.01</v>
      </c>
      <c r="E20" s="32">
        <v>5468.62</v>
      </c>
      <c r="F20" s="32">
        <v>5164.89</v>
      </c>
      <c r="G20" s="78">
        <v>3518.82</v>
      </c>
      <c r="H20" s="32">
        <v>4148.07</v>
      </c>
      <c r="I20" s="78">
        <v>4386.46</v>
      </c>
      <c r="J20" s="32">
        <v>4464.97</v>
      </c>
      <c r="K20" s="32">
        <v>4711.62</v>
      </c>
      <c r="L20" s="67">
        <v>379.06</v>
      </c>
      <c r="M20" s="18">
        <v>397.34</v>
      </c>
      <c r="N20" s="18">
        <v>315.49</v>
      </c>
      <c r="O20" s="18">
        <v>377.85</v>
      </c>
      <c r="P20" s="18">
        <v>314.33</v>
      </c>
      <c r="Q20" s="18">
        <v>241.01</v>
      </c>
      <c r="R20" s="18">
        <v>251.9</v>
      </c>
      <c r="S20" s="18">
        <v>213.5</v>
      </c>
      <c r="T20" s="18">
        <v>240.07</v>
      </c>
      <c r="U20" s="18">
        <v>497.13</v>
      </c>
      <c r="V20" s="18">
        <v>314.35</v>
      </c>
      <c r="W20" s="21">
        <v>267.45</v>
      </c>
      <c r="X20" s="24">
        <f t="shared" si="4"/>
        <v>3809.4799999999996</v>
      </c>
      <c r="Y20" s="76">
        <f t="shared" si="5"/>
        <v>41094.179999999986</v>
      </c>
    </row>
    <row r="21" spans="1:25" ht="24" customHeight="1" thickBot="1">
      <c r="A21" s="15" t="s">
        <v>38</v>
      </c>
      <c r="B21" s="31" t="s">
        <v>62</v>
      </c>
      <c r="C21" s="32">
        <v>2102.41</v>
      </c>
      <c r="D21" s="33">
        <v>2305.23</v>
      </c>
      <c r="E21" s="32">
        <v>689.7</v>
      </c>
      <c r="F21" s="32">
        <v>488.75</v>
      </c>
      <c r="G21" s="78">
        <v>1058.24</v>
      </c>
      <c r="H21" s="32">
        <v>714.88</v>
      </c>
      <c r="I21" s="78">
        <v>624.04</v>
      </c>
      <c r="J21" s="32">
        <v>488.3</v>
      </c>
      <c r="K21" s="32">
        <v>475.3</v>
      </c>
      <c r="L21" s="67">
        <v>29.99</v>
      </c>
      <c r="M21" s="18">
        <v>25.86</v>
      </c>
      <c r="N21" s="18">
        <v>22.53</v>
      </c>
      <c r="O21" s="18">
        <v>26.22</v>
      </c>
      <c r="P21" s="18">
        <v>2.77</v>
      </c>
      <c r="Q21" s="18">
        <v>39.3</v>
      </c>
      <c r="R21" s="18">
        <v>44.07</v>
      </c>
      <c r="S21" s="18">
        <v>51.33</v>
      </c>
      <c r="T21" s="18">
        <v>76.3</v>
      </c>
      <c r="U21" s="18">
        <v>18.87</v>
      </c>
      <c r="V21" s="18">
        <v>69.63</v>
      </c>
      <c r="W21" s="21">
        <v>24.51</v>
      </c>
      <c r="X21" s="34">
        <f t="shared" si="4"/>
        <v>431.38</v>
      </c>
      <c r="Y21" s="76">
        <f t="shared" si="5"/>
        <v>9378.229999999998</v>
      </c>
    </row>
    <row r="22" spans="1:25" ht="34.5" customHeight="1" thickBot="1">
      <c r="A22" s="15" t="s">
        <v>39</v>
      </c>
      <c r="B22" s="31" t="s">
        <v>63</v>
      </c>
      <c r="C22" s="32">
        <v>637.77</v>
      </c>
      <c r="D22" s="33">
        <v>3793.44</v>
      </c>
      <c r="E22" s="32">
        <v>3583.87</v>
      </c>
      <c r="F22" s="32">
        <v>4794.97</v>
      </c>
      <c r="G22" s="78">
        <v>4105.34</v>
      </c>
      <c r="H22" s="32">
        <v>5305.09</v>
      </c>
      <c r="I22" s="78">
        <v>4564.42</v>
      </c>
      <c r="J22" s="32">
        <v>4817.13</v>
      </c>
      <c r="K22" s="32">
        <v>5298.65</v>
      </c>
      <c r="L22" s="67">
        <f>18.72+181.39+223.42</f>
        <v>423.53</v>
      </c>
      <c r="M22" s="18">
        <f>17.64+252.72+216.58</f>
        <v>486.94000000000005</v>
      </c>
      <c r="N22" s="18">
        <f>225.88+15.35+168.49</f>
        <v>409.72</v>
      </c>
      <c r="O22" s="18">
        <f>16.41+186.29+598.56</f>
        <v>801.26</v>
      </c>
      <c r="P22" s="18">
        <f>16.02+205.7+162.22</f>
        <v>383.94</v>
      </c>
      <c r="Q22" s="18">
        <f>18.62+143.16+287.24</f>
        <v>449.02</v>
      </c>
      <c r="R22" s="18">
        <f>17.9+242.48+130.82</f>
        <v>391.2</v>
      </c>
      <c r="S22" s="18">
        <f>16.4+149.05+208.54</f>
        <v>373.99</v>
      </c>
      <c r="T22" s="18">
        <f>11.93+132.56+189.89</f>
        <v>334.38</v>
      </c>
      <c r="U22" s="18">
        <f>12.1+212.35+539.57</f>
        <v>764.02</v>
      </c>
      <c r="V22" s="18">
        <f>13.37+133.53+138.97</f>
        <v>285.87</v>
      </c>
      <c r="W22" s="21">
        <f>13.34+403.83+233.26</f>
        <v>650.43</v>
      </c>
      <c r="X22" s="24">
        <f t="shared" si="4"/>
        <v>5754.3</v>
      </c>
      <c r="Y22" s="76">
        <f t="shared" si="5"/>
        <v>42654.979999999996</v>
      </c>
    </row>
    <row r="23" spans="1:25" ht="13.5" customHeight="1" thickBot="1">
      <c r="A23" s="15" t="s">
        <v>54</v>
      </c>
      <c r="B23" s="31" t="s">
        <v>8</v>
      </c>
      <c r="C23" s="32">
        <v>18969.29</v>
      </c>
      <c r="D23" s="33">
        <v>35786.4</v>
      </c>
      <c r="E23" s="32">
        <v>45025.34</v>
      </c>
      <c r="F23" s="32">
        <v>47376.26</v>
      </c>
      <c r="G23" s="78">
        <v>48288.65</v>
      </c>
      <c r="H23" s="32">
        <v>52737.29</v>
      </c>
      <c r="I23" s="78">
        <v>47418.86</v>
      </c>
      <c r="J23" s="32">
        <v>51085.95</v>
      </c>
      <c r="K23" s="32">
        <v>52200.06</v>
      </c>
      <c r="L23" s="67">
        <f>7295.07-2170.35</f>
        <v>5124.719999999999</v>
      </c>
      <c r="M23" s="18">
        <f>6105.36-1309.94</f>
        <v>4795.42</v>
      </c>
      <c r="N23" s="18">
        <f>5944.25-1119.03</f>
        <v>4825.22</v>
      </c>
      <c r="O23" s="18">
        <f>6428.45-1580.8</f>
        <v>4847.65</v>
      </c>
      <c r="P23" s="18">
        <f>6196.58-1109.82</f>
        <v>5086.76</v>
      </c>
      <c r="Q23" s="18">
        <f>6018.46-1043.46</f>
        <v>4975</v>
      </c>
      <c r="R23" s="18">
        <f>6221.1-1047.53</f>
        <v>5173.570000000001</v>
      </c>
      <c r="S23" s="18">
        <f>10770.33-5794.88</f>
        <v>4975.45</v>
      </c>
      <c r="T23" s="18">
        <f>5829.38-999.35</f>
        <v>4830.03</v>
      </c>
      <c r="U23" s="18">
        <f>6848.2-1705.32</f>
        <v>5142.88</v>
      </c>
      <c r="V23" s="18">
        <f>6193.93-1034.6</f>
        <v>5159.33</v>
      </c>
      <c r="W23" s="21">
        <f>6418.72-1305.02</f>
        <v>5113.700000000001</v>
      </c>
      <c r="X23" s="34">
        <f t="shared" si="4"/>
        <v>60049.729999999996</v>
      </c>
      <c r="Y23" s="76">
        <f t="shared" si="5"/>
        <v>458937.8300000001</v>
      </c>
    </row>
    <row r="24" spans="1:25" ht="13.5" customHeight="1" thickBot="1">
      <c r="A24" s="15" t="s">
        <v>55</v>
      </c>
      <c r="B24" s="37" t="s">
        <v>3</v>
      </c>
      <c r="C24" s="38">
        <v>2850.69</v>
      </c>
      <c r="D24" s="39">
        <v>5711.23</v>
      </c>
      <c r="E24" s="38">
        <v>3979.27</v>
      </c>
      <c r="F24" s="38">
        <v>3825.54</v>
      </c>
      <c r="G24" s="80">
        <v>3478.92</v>
      </c>
      <c r="H24" s="38">
        <v>3767.51</v>
      </c>
      <c r="I24" s="80">
        <v>3606.85</v>
      </c>
      <c r="J24" s="38">
        <v>3984.76</v>
      </c>
      <c r="K24" s="38">
        <v>4094.89</v>
      </c>
      <c r="L24" s="69">
        <f>2.61+324.56</f>
        <v>327.17</v>
      </c>
      <c r="M24" s="40">
        <f>2.6+290.15</f>
        <v>292.75</v>
      </c>
      <c r="N24" s="40">
        <f>2.88+294.36</f>
        <v>297.24</v>
      </c>
      <c r="O24" s="40">
        <f>2.43+256.78</f>
        <v>259.21</v>
      </c>
      <c r="P24" s="40">
        <f>2.94+299.54</f>
        <v>302.48</v>
      </c>
      <c r="Q24" s="40">
        <f>2.2+223.75</f>
        <v>225.95</v>
      </c>
      <c r="R24" s="40">
        <f>2.42+246.66</f>
        <v>249.07999999999998</v>
      </c>
      <c r="S24" s="40">
        <f>2.48+238.27</f>
        <v>240.75</v>
      </c>
      <c r="T24" s="40">
        <f>2.73+259.95</f>
        <v>262.68</v>
      </c>
      <c r="U24" s="40">
        <f>3.43+319.19</f>
        <v>322.62</v>
      </c>
      <c r="V24" s="40">
        <f>2.93+263.03</f>
        <v>265.96</v>
      </c>
      <c r="W24" s="41">
        <f>2.79+267.31</f>
        <v>270.1</v>
      </c>
      <c r="X24" s="24">
        <f t="shared" si="4"/>
        <v>3315.99</v>
      </c>
      <c r="Y24" s="76">
        <f>SUM(C24:W24)</f>
        <v>38615.65</v>
      </c>
    </row>
    <row r="25" spans="1:25" ht="13.5" customHeight="1" thickBot="1">
      <c r="A25" s="15"/>
      <c r="B25" s="45" t="s">
        <v>59</v>
      </c>
      <c r="C25" s="43"/>
      <c r="D25" s="44"/>
      <c r="E25" s="43"/>
      <c r="F25" s="43"/>
      <c r="G25" s="81">
        <f>G7*5%</f>
        <v>4829.256</v>
      </c>
      <c r="H25" s="73">
        <f>H7*5%</f>
        <v>4826.46</v>
      </c>
      <c r="I25" s="81">
        <f>I7*5%</f>
        <v>4826.46</v>
      </c>
      <c r="J25" s="73">
        <v>4835.68</v>
      </c>
      <c r="K25" s="106">
        <f>K7*5%</f>
        <v>4855.8155</v>
      </c>
      <c r="L25" s="72">
        <f>(L7+L8)*5%</f>
        <v>380.97850000000005</v>
      </c>
      <c r="M25" s="72">
        <f aca="true" t="shared" si="6" ref="M25:W25">(M7+M8)*5%</f>
        <v>380.97850000000005</v>
      </c>
      <c r="N25" s="72">
        <f t="shared" si="6"/>
        <v>380.97850000000005</v>
      </c>
      <c r="O25" s="72">
        <f t="shared" si="6"/>
        <v>380.97850000000005</v>
      </c>
      <c r="P25" s="72">
        <f t="shared" si="6"/>
        <v>380.97850000000005</v>
      </c>
      <c r="Q25" s="72">
        <f t="shared" si="6"/>
        <v>380.97850000000005</v>
      </c>
      <c r="R25" s="72">
        <f t="shared" si="6"/>
        <v>381.21000000000004</v>
      </c>
      <c r="S25" s="72">
        <f t="shared" si="6"/>
        <v>381.21000000000004</v>
      </c>
      <c r="T25" s="72">
        <f t="shared" si="6"/>
        <v>381.21000000000004</v>
      </c>
      <c r="U25" s="72">
        <f t="shared" si="6"/>
        <v>381.21000000000004</v>
      </c>
      <c r="V25" s="72">
        <f t="shared" si="6"/>
        <v>381.21000000000004</v>
      </c>
      <c r="W25" s="72">
        <f t="shared" si="6"/>
        <v>381.21000000000004</v>
      </c>
      <c r="X25" s="73">
        <f t="shared" si="4"/>
        <v>4573.131</v>
      </c>
      <c r="Y25" s="76"/>
    </row>
    <row r="26" spans="1:25" ht="13.5" customHeight="1" thickBot="1">
      <c r="A26" s="15" t="s">
        <v>40</v>
      </c>
      <c r="B26" s="42" t="s">
        <v>52</v>
      </c>
      <c r="C26" s="43"/>
      <c r="D26" s="44"/>
      <c r="E26" s="43"/>
      <c r="F26" s="43"/>
      <c r="G26" s="82"/>
      <c r="H26" s="43"/>
      <c r="I26" s="82"/>
      <c r="J26" s="73">
        <f aca="true" t="shared" si="7" ref="J26:W26">SUM(J7+J8-J9)-J25</f>
        <v>413.5000000000073</v>
      </c>
      <c r="K26" s="73">
        <f>SUM(K7+K8-K9)-K25</f>
        <v>-17472.54550000001</v>
      </c>
      <c r="L26" s="74">
        <f t="shared" si="7"/>
        <v>-56.478499999999144</v>
      </c>
      <c r="M26" s="74">
        <f t="shared" si="7"/>
        <v>1133.2314999999999</v>
      </c>
      <c r="N26" s="74">
        <f t="shared" si="7"/>
        <v>1294.3415000000005</v>
      </c>
      <c r="O26" s="74">
        <f t="shared" si="7"/>
        <v>810.1415000000007</v>
      </c>
      <c r="P26" s="74">
        <f t="shared" si="7"/>
        <v>1042.0115000000005</v>
      </c>
      <c r="Q26" s="74">
        <f t="shared" si="7"/>
        <v>1220.1315000000004</v>
      </c>
      <c r="R26" s="74">
        <f t="shared" si="7"/>
        <v>1021.8899999999994</v>
      </c>
      <c r="S26" s="74">
        <f t="shared" si="7"/>
        <v>-3527.3399999999983</v>
      </c>
      <c r="T26" s="74">
        <f t="shared" si="7"/>
        <v>1413.6099999999997</v>
      </c>
      <c r="U26" s="74">
        <f t="shared" si="7"/>
        <v>394.78999999999996</v>
      </c>
      <c r="V26" s="74">
        <f t="shared" si="7"/>
        <v>1049.0599999999995</v>
      </c>
      <c r="W26" s="74">
        <f t="shared" si="7"/>
        <v>824.2699999999986</v>
      </c>
      <c r="X26" s="73">
        <f t="shared" si="4"/>
        <v>6619.6590000000015</v>
      </c>
      <c r="Y26" s="25"/>
    </row>
    <row r="27" spans="1:25" ht="21.75" customHeight="1" thickBot="1">
      <c r="A27" s="15" t="s">
        <v>41</v>
      </c>
      <c r="B27" s="96" t="s">
        <v>22</v>
      </c>
      <c r="C27" s="97">
        <v>6643.4</v>
      </c>
      <c r="D27" s="98">
        <f>SUM(D7-D9)</f>
        <v>5201.0899999999965</v>
      </c>
      <c r="E27" s="91">
        <f>SUM(E7-E9)</f>
        <v>6235.630000000005</v>
      </c>
      <c r="F27" s="91">
        <f>SUM(F7-F9)</f>
        <v>5423.009999999995</v>
      </c>
      <c r="G27" s="99">
        <f>SUM(G7-G9)-G25</f>
        <v>-4222.955999999997</v>
      </c>
      <c r="H27" s="100">
        <f>SUM(H7-H9)-H25</f>
        <v>-4916.489999999999</v>
      </c>
      <c r="I27" s="99">
        <f>SUM(I7-I9)-I25</f>
        <v>3930.7199999999784</v>
      </c>
      <c r="J27" s="100">
        <f>SUM(J7+J8-J9)-J25</f>
        <v>413.5000000000073</v>
      </c>
      <c r="K27" s="100">
        <f>SUM(K7+K8-K9)-K25</f>
        <v>-17472.54550000001</v>
      </c>
      <c r="L27" s="101">
        <f>SUM(L7+L8-L9)-L25</f>
        <v>-56.478499999999144</v>
      </c>
      <c r="M27" s="102">
        <f>SUM(M26+L27)</f>
        <v>1076.7530000000006</v>
      </c>
      <c r="N27" s="102">
        <f aca="true" t="shared" si="8" ref="N27:W27">SUM(N26+M27)</f>
        <v>2371.094500000001</v>
      </c>
      <c r="O27" s="102">
        <f t="shared" si="8"/>
        <v>3181.2360000000017</v>
      </c>
      <c r="P27" s="102">
        <f t="shared" si="8"/>
        <v>4223.247500000002</v>
      </c>
      <c r="Q27" s="102">
        <f t="shared" si="8"/>
        <v>5443.379000000003</v>
      </c>
      <c r="R27" s="102">
        <f t="shared" si="8"/>
        <v>6465.269000000002</v>
      </c>
      <c r="S27" s="102">
        <f t="shared" si="8"/>
        <v>2937.9290000000037</v>
      </c>
      <c r="T27" s="102">
        <f t="shared" si="8"/>
        <v>4351.539000000003</v>
      </c>
      <c r="U27" s="102">
        <f t="shared" si="8"/>
        <v>4746.329000000003</v>
      </c>
      <c r="V27" s="102">
        <f t="shared" si="8"/>
        <v>5795.389000000003</v>
      </c>
      <c r="W27" s="102">
        <f t="shared" si="8"/>
        <v>6619.6590000000015</v>
      </c>
      <c r="X27" s="91"/>
      <c r="Y27" s="103"/>
    </row>
    <row r="28" spans="1:25" ht="21" customHeight="1" thickBot="1">
      <c r="A28" s="15" t="s">
        <v>42</v>
      </c>
      <c r="B28" s="47" t="s">
        <v>23</v>
      </c>
      <c r="C28" s="45">
        <v>6643.4</v>
      </c>
      <c r="D28" s="49">
        <f>SUM(D7-D9,C28)</f>
        <v>11844.489999999996</v>
      </c>
      <c r="E28" s="24">
        <f>SUM(E7-E9,D28)</f>
        <v>18080.120000000003</v>
      </c>
      <c r="F28" s="24">
        <f>SUM(F7-F9,E28)</f>
        <v>23503.129999999997</v>
      </c>
      <c r="G28" s="83">
        <f aca="true" t="shared" si="9" ref="G28:L28">SUM(G27+F28)</f>
        <v>19280.174</v>
      </c>
      <c r="H28" s="73">
        <f t="shared" si="9"/>
        <v>14363.684000000001</v>
      </c>
      <c r="I28" s="87">
        <f t="shared" si="9"/>
        <v>18294.40399999998</v>
      </c>
      <c r="J28" s="73">
        <f t="shared" si="9"/>
        <v>18707.903999999988</v>
      </c>
      <c r="K28" s="73">
        <f t="shared" si="9"/>
        <v>1235.3584999999766</v>
      </c>
      <c r="L28" s="73">
        <f t="shared" si="9"/>
        <v>1178.8799999999774</v>
      </c>
      <c r="M28" s="73">
        <f>SUM(M26+L28)</f>
        <v>2312.1114999999772</v>
      </c>
      <c r="N28" s="75">
        <f>SUM(N26+M28)</f>
        <v>3606.4529999999777</v>
      </c>
      <c r="O28" s="75">
        <f>SUM(O26+N28)</f>
        <v>4416.594499999978</v>
      </c>
      <c r="P28" s="75">
        <f aca="true" t="shared" si="10" ref="P28:V28">SUM(P26+O28)</f>
        <v>5458.605999999979</v>
      </c>
      <c r="Q28" s="75">
        <f t="shared" si="10"/>
        <v>6678.737499999979</v>
      </c>
      <c r="R28" s="75">
        <f t="shared" si="10"/>
        <v>7700.627499999979</v>
      </c>
      <c r="S28" s="75">
        <f t="shared" si="10"/>
        <v>4173.28749999998</v>
      </c>
      <c r="T28" s="75">
        <f t="shared" si="10"/>
        <v>5586.89749999998</v>
      </c>
      <c r="U28" s="75">
        <f t="shared" si="10"/>
        <v>5981.68749999998</v>
      </c>
      <c r="V28" s="75">
        <f t="shared" si="10"/>
        <v>7030.7474999999795</v>
      </c>
      <c r="W28" s="75">
        <f>SUM(W26+V28)</f>
        <v>7855.017499999978</v>
      </c>
      <c r="X28" s="24"/>
      <c r="Y28" s="25"/>
    </row>
    <row r="29" spans="1:25" ht="0.75" customHeight="1" hidden="1" thickBot="1">
      <c r="A29" s="15" t="s">
        <v>43</v>
      </c>
      <c r="B29" s="47" t="s">
        <v>7</v>
      </c>
      <c r="C29" s="45"/>
      <c r="D29" s="48"/>
      <c r="E29" s="48"/>
      <c r="F29" s="48"/>
      <c r="G29" s="48"/>
      <c r="H29" s="48"/>
      <c r="I29" s="48"/>
      <c r="J29" s="48"/>
      <c r="K29" s="48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49"/>
      <c r="X29" s="24"/>
      <c r="Y29" s="50"/>
    </row>
    <row r="30" spans="1:25" ht="15" customHeight="1" hidden="1" thickBot="1">
      <c r="A30" s="51" t="s">
        <v>44</v>
      </c>
      <c r="B30" s="52" t="s">
        <v>24</v>
      </c>
      <c r="C30" s="43"/>
      <c r="D30" s="44"/>
      <c r="E30" s="44"/>
      <c r="F30" s="44"/>
      <c r="G30" s="44"/>
      <c r="H30" s="44"/>
      <c r="I30" s="44"/>
      <c r="J30" s="44"/>
      <c r="K30" s="44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  <c r="X30" s="24"/>
      <c r="Y30" s="46"/>
    </row>
    <row r="31" spans="1:25" ht="0.75" customHeight="1" hidden="1" thickBot="1">
      <c r="A31" s="51" t="s">
        <v>47</v>
      </c>
      <c r="B31" s="55" t="s">
        <v>48</v>
      </c>
      <c r="C31" s="56"/>
      <c r="D31" s="57"/>
      <c r="E31" s="57"/>
      <c r="F31" s="57"/>
      <c r="G31" s="57"/>
      <c r="H31" s="57"/>
      <c r="I31" s="57"/>
      <c r="J31" s="57"/>
      <c r="K31" s="57"/>
      <c r="L31" s="58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60">
        <f>SUM(W27-W29)</f>
        <v>6619.6590000000015</v>
      </c>
      <c r="X31" s="61"/>
      <c r="Y31" s="62"/>
    </row>
    <row r="32" spans="1:25" ht="24" customHeight="1" hidden="1" thickBot="1">
      <c r="A32" s="63" t="s">
        <v>51</v>
      </c>
      <c r="B32" s="55" t="s">
        <v>25</v>
      </c>
      <c r="C32" s="56"/>
      <c r="D32" s="57"/>
      <c r="E32" s="5"/>
      <c r="F32" s="5"/>
      <c r="G32" s="5"/>
      <c r="H32" s="5"/>
      <c r="I32" s="5"/>
      <c r="J32" s="5"/>
      <c r="K32" s="5"/>
      <c r="L32" s="64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60">
        <f>SUM(W28-W29)</f>
        <v>7855.017499999978</v>
      </c>
      <c r="X32" s="65"/>
      <c r="Y32" s="62"/>
    </row>
    <row r="33" spans="2:25" ht="11.25" customHeight="1" hidden="1"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7"/>
    </row>
    <row r="34" spans="3:25" ht="24" customHeight="1" hidden="1">
      <c r="C34" s="5"/>
      <c r="D34" s="5"/>
      <c r="E34" s="5"/>
      <c r="F34" s="5"/>
      <c r="G34" s="5"/>
      <c r="H34" s="5"/>
      <c r="I34" s="5"/>
      <c r="J34" s="5"/>
      <c r="K34" s="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7"/>
    </row>
    <row r="35" ht="12.75" hidden="1"/>
    <row r="36" ht="0.75" customHeight="1" hidden="1"/>
    <row r="37" ht="12.75" hidden="1"/>
    <row r="38" ht="12.75" hidden="1"/>
    <row r="39" ht="12.75">
      <c r="B39" t="s">
        <v>66</v>
      </c>
    </row>
    <row r="43" ht="12.75" customHeight="1"/>
    <row r="44" ht="12.75" customHeight="1"/>
  </sheetData>
  <sheetProtection/>
  <mergeCells count="5">
    <mergeCell ref="B4:Y4"/>
    <mergeCell ref="B5:Y5"/>
    <mergeCell ref="B3:Y3"/>
    <mergeCell ref="B1:N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2020-02-20T05:16:25Z</cp:lastPrinted>
  <dcterms:created xsi:type="dcterms:W3CDTF">2011-06-16T11:06:26Z</dcterms:created>
  <dcterms:modified xsi:type="dcterms:W3CDTF">2020-02-20T05:16:28Z</dcterms:modified>
  <cp:category/>
  <cp:version/>
  <cp:contentType/>
  <cp:contentStatus/>
</cp:coreProperties>
</file>