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<sst xmlns="http://schemas.openxmlformats.org/spreadsheetml/2006/main" count="79" uniqueCount="78">
  <si>
    <t>СПРАВКА</t>
  </si>
  <si>
    <t xml:space="preserve">Начислено  </t>
  </si>
  <si>
    <t>Расходы</t>
  </si>
  <si>
    <t>Услуги РИРЦ</t>
  </si>
  <si>
    <t>Дератизация, дезинфекция</t>
  </si>
  <si>
    <t>Наименование</t>
  </si>
  <si>
    <t>Задолженность по неплательщикам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</si>
  <si>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</si>
  <si>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</si>
  <si>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</si>
  <si>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</si>
  <si>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</si>
  <si>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</si>
  <si>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</si>
  <si>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</si>
  <si>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</si>
  <si>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</si>
  <si>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</si>
  <si>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</si>
  <si>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</si>
  <si>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</si>
  <si>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</si>
  <si>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</si>
  <si>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Задолженность на 01.05.2011г</t>
  </si>
  <si>
    <t>Финансовый результат по дому с начала деятельности</t>
  </si>
  <si>
    <t>№</t>
  </si>
  <si>
    <t>1</t>
  </si>
  <si>
    <t>4</t>
  </si>
  <si>
    <t>4.1</t>
  </si>
  <si>
    <t>4.2</t>
  </si>
  <si>
    <t>4.4</t>
  </si>
  <si>
    <t>4.5</t>
  </si>
  <si>
    <t>4.6</t>
  </si>
  <si>
    <t>4.7</t>
  </si>
  <si>
    <t>4.8</t>
  </si>
  <si>
    <t>4.9</t>
  </si>
  <si>
    <t>4.10</t>
  </si>
  <si>
    <t>4.11</t>
  </si>
  <si>
    <t>5</t>
  </si>
  <si>
    <t>6</t>
  </si>
  <si>
    <t>7</t>
  </si>
  <si>
    <t>8</t>
  </si>
  <si>
    <t>9</t>
  </si>
  <si>
    <t>по жилому дому г. Унеча  пер.Крупской д.9</t>
  </si>
  <si>
    <t>за 2009 г.</t>
  </si>
  <si>
    <t>за 2010 г.</t>
  </si>
  <si>
    <t>10</t>
  </si>
  <si>
    <t>Финансовый результат по дому с начала года</t>
  </si>
  <si>
    <t>Итого за 2011 г</t>
  </si>
  <si>
    <t>Результат за месяц</t>
  </si>
  <si>
    <t>Благоустройство территории</t>
  </si>
  <si>
    <t>4.12</t>
  </si>
  <si>
    <t>Итого за 2012 г</t>
  </si>
  <si>
    <t>Итого за 2013 г</t>
  </si>
  <si>
    <t>4.3</t>
  </si>
  <si>
    <t>Тех.обслуживание  газопроводов</t>
  </si>
  <si>
    <t xml:space="preserve">Материалы </t>
  </si>
  <si>
    <t>Итого за 2014 г</t>
  </si>
  <si>
    <t>рентабельность 5%</t>
  </si>
  <si>
    <t>Итого за 2015 г</t>
  </si>
  <si>
    <t>Транспортные(ГСМ,зап.части,амортизация,страхование ит.д.)</t>
  </si>
  <si>
    <t xml:space="preserve">Расходы на управление,аренда, связь </t>
  </si>
  <si>
    <t xml:space="preserve">УслугиМФЦ,агентские,охрана труда,отопление, хол.вода, эл.энегрия   </t>
  </si>
  <si>
    <t>Услуги сторонни х орган.</t>
  </si>
  <si>
    <t>Исполнитель  вед. экономист /Викторова Л.С./</t>
  </si>
  <si>
    <t>Итого за 2016 г</t>
  </si>
  <si>
    <t>Проверка вент каналов</t>
  </si>
  <si>
    <t>Итого за 2017 г</t>
  </si>
  <si>
    <t>Начислено СОИД</t>
  </si>
  <si>
    <t>Электроэнергия  СОИД</t>
  </si>
  <si>
    <t>Холодная вода СОИД</t>
  </si>
  <si>
    <t>Канализация СОИД</t>
  </si>
  <si>
    <t>Итого за 2018 г</t>
  </si>
  <si>
    <t>Итого за 2019 г</t>
  </si>
  <si>
    <t>Всего за 2009-2019</t>
  </si>
  <si>
    <t>Вывоз ТБО(Утилизация)</t>
  </si>
  <si>
    <t>Дом по пер.Крупской д.9 вступил в ООО "Наш дом" с октября 2009 года     тариф 8,3 руб., с 1 января 2019 г   тариф 7,8 руб.</t>
  </si>
  <si>
    <t>ООО "НД УНЕЧА"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</si>
</sst>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9"/>
      <name val="Arial Cyr"/>
      <family val="0"/>
    </font>
    <font>
      <b/>
      <i/>
      <sz val="9"/>
      <name val="Arial Cyr"/>
      <family val="0"/>
    </font>
    <font>
      <i/>
      <sz val="8"/>
      <name val="Arial Cyr"/>
      <family val="0"/>
    </font>
    <font>
      <sz val="9"/>
      <color indexed="10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9"/>
      <color indexed="10"/>
      <name val="Arial Cyr"/>
      <family val="0"/>
    </font>
    <font>
      <b/>
      <sz val="9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1" fillId="0" borderId="0" xfId="0" applyFont="1" applyBorder="1" applyAlignment="1">
      <alignment wrapText="1"/>
    </xf>
    <xf numFmtId="0" fontId="20" fillId="2" borderId="0" xfId="0" applyFont="1" applyFill="1" applyBorder="1" applyAlignment="1">
      <alignment wrapText="1"/>
    </xf>
    <xf numFmtId="0" fontId="19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49" fontId="23" fillId="0" borderId="10" xfId="0" applyNumberFormat="1" applyFont="1" applyBorder="1" applyAlignment="1">
      <alignment horizontal="center"/>
    </xf>
    <xf numFmtId="0" fontId="24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49" fontId="20" fillId="0" borderId="17" xfId="0" applyNumberFormat="1" applyFont="1" applyBorder="1" applyAlignment="1">
      <alignment horizontal="center"/>
    </xf>
    <xf numFmtId="0" fontId="25" fillId="0" borderId="18" xfId="0" applyFont="1" applyBorder="1" applyAlignment="1">
      <alignment wrapText="1"/>
    </xf>
    <xf numFmtId="0" fontId="25" fillId="0" borderId="19" xfId="0" applyFont="1" applyBorder="1" applyAlignment="1">
      <alignment horizontal="right" wrapText="1"/>
    </xf>
    <xf numFmtId="0" fontId="25" fillId="0" borderId="10" xfId="0" applyFont="1" applyBorder="1" applyAlignment="1">
      <alignment wrapText="1"/>
    </xf>
    <xf numFmtId="0" fontId="25" fillId="0" borderId="19" xfId="0" applyFont="1" applyBorder="1" applyAlignment="1">
      <alignment wrapText="1"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5" xfId="0" applyFont="1" applyBorder="1" applyAlignment="1">
      <alignment/>
    </xf>
    <xf numFmtId="2" fontId="20" fillId="0" borderId="24" xfId="0" applyNumberFormat="1" applyFont="1" applyBorder="1" applyAlignment="1">
      <alignment/>
    </xf>
    <xf numFmtId="49" fontId="20" fillId="0" borderId="18" xfId="0" applyNumberFormat="1" applyFont="1" applyBorder="1" applyAlignment="1">
      <alignment wrapText="1"/>
    </xf>
    <xf numFmtId="2" fontId="20" fillId="0" borderId="19" xfId="0" applyNumberFormat="1" applyFont="1" applyBorder="1" applyAlignment="1">
      <alignment horizontal="right" wrapText="1"/>
    </xf>
    <xf numFmtId="2" fontId="20" fillId="0" borderId="25" xfId="0" applyNumberFormat="1" applyFont="1" applyBorder="1" applyAlignment="1">
      <alignment wrapText="1"/>
    </xf>
    <xf numFmtId="2" fontId="20" fillId="0" borderId="19" xfId="0" applyNumberFormat="1" applyFont="1" applyBorder="1" applyAlignment="1">
      <alignment wrapText="1"/>
    </xf>
    <xf numFmtId="2" fontId="20" fillId="0" borderId="21" xfId="0" applyNumberFormat="1" applyFont="1" applyBorder="1" applyAlignment="1">
      <alignment/>
    </xf>
    <xf numFmtId="2" fontId="20" fillId="0" borderId="13" xfId="0" applyNumberFormat="1" applyFont="1" applyBorder="1" applyAlignment="1">
      <alignment/>
    </xf>
    <xf numFmtId="0" fontId="20" fillId="0" borderId="26" xfId="0" applyFont="1" applyBorder="1" applyAlignment="1">
      <alignment wrapText="1"/>
    </xf>
    <xf numFmtId="0" fontId="20" fillId="0" borderId="27" xfId="0" applyFont="1" applyBorder="1" applyAlignment="1">
      <alignment horizontal="right" wrapText="1"/>
    </xf>
    <xf numFmtId="0" fontId="20" fillId="0" borderId="17" xfId="0" applyFont="1" applyBorder="1" applyAlignment="1">
      <alignment wrapText="1"/>
    </xf>
    <xf numFmtId="0" fontId="20" fillId="0" borderId="27" xfId="0" applyFont="1" applyBorder="1" applyAlignment="1">
      <alignment wrapText="1"/>
    </xf>
    <xf numFmtId="0" fontId="20" fillId="0" borderId="28" xfId="0" applyFont="1" applyBorder="1" applyAlignment="1">
      <alignment wrapText="1"/>
    </xf>
    <xf numFmtId="0" fontId="20" fillId="0" borderId="29" xfId="0" applyFont="1" applyBorder="1" applyAlignment="1">
      <alignment horizontal="right" wrapText="1"/>
    </xf>
    <xf numFmtId="0" fontId="20" fillId="0" borderId="30" xfId="0" applyFont="1" applyBorder="1" applyAlignment="1">
      <alignment wrapText="1"/>
    </xf>
    <xf numFmtId="0" fontId="20" fillId="0" borderId="29" xfId="0" applyFont="1" applyBorder="1" applyAlignment="1">
      <alignment wrapText="1"/>
    </xf>
    <xf numFmtId="0" fontId="20" fillId="0" borderId="31" xfId="0" applyFont="1" applyBorder="1" applyAlignment="1">
      <alignment/>
    </xf>
    <xf numFmtId="0" fontId="20" fillId="0" borderId="32" xfId="0" applyFont="1" applyBorder="1" applyAlignment="1">
      <alignment/>
    </xf>
    <xf numFmtId="0" fontId="20" fillId="0" borderId="33" xfId="0" applyFont="1" applyBorder="1" applyAlignment="1">
      <alignment wrapText="1"/>
    </xf>
    <xf numFmtId="0" fontId="20" fillId="0" borderId="34" xfId="0" applyFont="1" applyBorder="1" applyAlignment="1">
      <alignment horizontal="right" wrapText="1"/>
    </xf>
    <xf numFmtId="0" fontId="20" fillId="0" borderId="35" xfId="0" applyFont="1" applyBorder="1" applyAlignment="1">
      <alignment wrapText="1"/>
    </xf>
    <xf numFmtId="0" fontId="20" fillId="0" borderId="34" xfId="0" applyFont="1" applyBorder="1" applyAlignment="1">
      <alignment wrapText="1"/>
    </xf>
    <xf numFmtId="0" fontId="20" fillId="0" borderId="36" xfId="0" applyFont="1" applyBorder="1" applyAlignment="1">
      <alignment horizontal="right" wrapText="1"/>
    </xf>
    <xf numFmtId="0" fontId="20" fillId="0" borderId="13" xfId="0" applyFont="1" applyBorder="1" applyAlignment="1">
      <alignment wrapText="1"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wrapText="1"/>
    </xf>
    <xf numFmtId="0" fontId="20" fillId="0" borderId="12" xfId="0" applyFont="1" applyBorder="1" applyAlignment="1">
      <alignment horizontal="right" wrapText="1"/>
    </xf>
    <xf numFmtId="0" fontId="20" fillId="0" borderId="12" xfId="0" applyFont="1" applyBorder="1" applyAlignment="1">
      <alignment wrapText="1"/>
    </xf>
    <xf numFmtId="0" fontId="20" fillId="0" borderId="16" xfId="0" applyFont="1" applyBorder="1" applyAlignment="1">
      <alignment/>
    </xf>
    <xf numFmtId="0" fontId="20" fillId="0" borderId="33" xfId="0" applyFont="1" applyBorder="1" applyAlignment="1">
      <alignment/>
    </xf>
    <xf numFmtId="0" fontId="20" fillId="0" borderId="37" xfId="0" applyFont="1" applyBorder="1" applyAlignment="1">
      <alignment wrapText="1"/>
    </xf>
    <xf numFmtId="0" fontId="20" fillId="0" borderId="38" xfId="0" applyFont="1" applyBorder="1" applyAlignment="1">
      <alignment/>
    </xf>
    <xf numFmtId="0" fontId="20" fillId="0" borderId="39" xfId="0" applyFont="1" applyBorder="1" applyAlignment="1">
      <alignment/>
    </xf>
    <xf numFmtId="0" fontId="20" fillId="0" borderId="35" xfId="0" applyFont="1" applyBorder="1" applyAlignment="1">
      <alignment/>
    </xf>
    <xf numFmtId="49" fontId="20" fillId="0" borderId="30" xfId="0" applyNumberFormat="1" applyFont="1" applyBorder="1" applyAlignment="1">
      <alignment horizontal="center"/>
    </xf>
    <xf numFmtId="0" fontId="20" fillId="2" borderId="37" xfId="0" applyFont="1" applyFill="1" applyBorder="1" applyAlignment="1">
      <alignment wrapText="1"/>
    </xf>
    <xf numFmtId="0" fontId="20" fillId="2" borderId="34" xfId="0" applyFont="1" applyFill="1" applyBorder="1" applyAlignment="1">
      <alignment horizontal="right" wrapText="1"/>
    </xf>
    <xf numFmtId="0" fontId="20" fillId="2" borderId="35" xfId="0" applyFont="1" applyFill="1" applyBorder="1" applyAlignment="1">
      <alignment wrapText="1"/>
    </xf>
    <xf numFmtId="0" fontId="20" fillId="2" borderId="34" xfId="0" applyFont="1" applyFill="1" applyBorder="1" applyAlignment="1">
      <alignment wrapText="1"/>
    </xf>
    <xf numFmtId="0" fontId="19" fillId="2" borderId="38" xfId="0" applyFont="1" applyFill="1" applyBorder="1" applyAlignment="1">
      <alignment/>
    </xf>
    <xf numFmtId="0" fontId="19" fillId="2" borderId="40" xfId="0" applyFont="1" applyFill="1" applyBorder="1" applyAlignment="1">
      <alignment/>
    </xf>
    <xf numFmtId="0" fontId="19" fillId="2" borderId="34" xfId="0" applyFont="1" applyFill="1" applyBorder="1" applyAlignment="1">
      <alignment/>
    </xf>
    <xf numFmtId="0" fontId="19" fillId="2" borderId="35" xfId="0" applyFont="1" applyFill="1" applyBorder="1" applyAlignment="1">
      <alignment/>
    </xf>
    <xf numFmtId="0" fontId="20" fillId="2" borderId="11" xfId="0" applyFont="1" applyFill="1" applyBorder="1" applyAlignment="1">
      <alignment/>
    </xf>
    <xf numFmtId="0" fontId="19" fillId="2" borderId="21" xfId="0" applyFont="1" applyFill="1" applyBorder="1" applyAlignment="1">
      <alignment/>
    </xf>
    <xf numFmtId="0" fontId="20" fillId="0" borderId="41" xfId="0" applyFont="1" applyBorder="1" applyAlignment="1">
      <alignment/>
    </xf>
    <xf numFmtId="2" fontId="20" fillId="0" borderId="42" xfId="0" applyNumberFormat="1" applyFont="1" applyBorder="1" applyAlignment="1">
      <alignment/>
    </xf>
    <xf numFmtId="0" fontId="20" fillId="0" borderId="43" xfId="0" applyFont="1" applyBorder="1" applyAlignment="1">
      <alignment/>
    </xf>
    <xf numFmtId="0" fontId="25" fillId="0" borderId="25" xfId="0" applyFont="1" applyBorder="1" applyAlignment="1">
      <alignment wrapText="1"/>
    </xf>
    <xf numFmtId="2" fontId="20" fillId="0" borderId="44" xfId="0" applyNumberFormat="1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33" xfId="0" applyFont="1" applyBorder="1" applyAlignment="1">
      <alignment/>
    </xf>
    <xf numFmtId="0" fontId="26" fillId="0" borderId="13" xfId="0" applyFont="1" applyBorder="1" applyAlignment="1">
      <alignment/>
    </xf>
    <xf numFmtId="2" fontId="20" fillId="0" borderId="35" xfId="0" applyNumberFormat="1" applyFont="1" applyBorder="1" applyAlignment="1">
      <alignment/>
    </xf>
    <xf numFmtId="2" fontId="20" fillId="0" borderId="37" xfId="0" applyNumberFormat="1" applyFont="1" applyBorder="1" applyAlignment="1">
      <alignment/>
    </xf>
    <xf numFmtId="49" fontId="27" fillId="0" borderId="17" xfId="0" applyNumberFormat="1" applyFont="1" applyBorder="1" applyAlignment="1">
      <alignment horizontal="center"/>
    </xf>
    <xf numFmtId="0" fontId="28" fillId="0" borderId="11" xfId="0" applyFont="1" applyBorder="1" applyAlignment="1">
      <alignment wrapText="1"/>
    </xf>
    <xf numFmtId="0" fontId="27" fillId="0" borderId="12" xfId="0" applyFont="1" applyBorder="1" applyAlignment="1">
      <alignment horizontal="right"/>
    </xf>
    <xf numFmtId="0" fontId="27" fillId="0" borderId="13" xfId="0" applyFont="1" applyBorder="1" applyAlignment="1">
      <alignment/>
    </xf>
    <xf numFmtId="0" fontId="27" fillId="0" borderId="12" xfId="0" applyFont="1" applyBorder="1" applyAlignment="1">
      <alignment/>
    </xf>
    <xf numFmtId="0" fontId="27" fillId="0" borderId="44" xfId="0" applyFont="1" applyBorder="1" applyAlignment="1">
      <alignment/>
    </xf>
    <xf numFmtId="2" fontId="27" fillId="0" borderId="24" xfId="0" applyNumberFormat="1" applyFont="1" applyBorder="1" applyAlignment="1">
      <alignment/>
    </xf>
    <xf numFmtId="0" fontId="29" fillId="0" borderId="11" xfId="0" applyFont="1" applyBorder="1" applyAlignment="1">
      <alignment/>
    </xf>
    <xf numFmtId="0" fontId="21" fillId="0" borderId="0" xfId="0" applyFont="1" applyAlignment="1">
      <alignment/>
    </xf>
    <xf numFmtId="0" fontId="27" fillId="0" borderId="45" xfId="0" applyFont="1" applyBorder="1" applyAlignment="1">
      <alignment wrapText="1"/>
    </xf>
    <xf numFmtId="0" fontId="27" fillId="0" borderId="36" xfId="0" applyFont="1" applyBorder="1" applyAlignment="1">
      <alignment horizontal="right" wrapText="1"/>
    </xf>
    <xf numFmtId="0" fontId="27" fillId="0" borderId="13" xfId="0" applyFont="1" applyBorder="1" applyAlignment="1">
      <alignment wrapText="1"/>
    </xf>
    <xf numFmtId="0" fontId="27" fillId="0" borderId="16" xfId="0" applyFont="1" applyBorder="1" applyAlignment="1">
      <alignment/>
    </xf>
    <xf numFmtId="2" fontId="27" fillId="0" borderId="13" xfId="0" applyNumberFormat="1" applyFont="1" applyBorder="1" applyAlignment="1">
      <alignment/>
    </xf>
    <xf numFmtId="2" fontId="27" fillId="0" borderId="44" xfId="0" applyNumberFormat="1" applyFont="1" applyBorder="1" applyAlignment="1">
      <alignment/>
    </xf>
    <xf numFmtId="0" fontId="30" fillId="0" borderId="11" xfId="0" applyFont="1" applyBorder="1" applyAlignment="1">
      <alignment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left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9"/>
  <sheetViews>
    <sheetView tabSelected="1" zoomScalePageLayoutView="0" workbookViewId="0" topLeftCell="A10">
      <selection activeCell="B2" sqref="B2:Z2"/>
    </sheetView>
  </sheetViews>
  <sheetFormatPr defaultColWidth="9.00390625" defaultRowHeight="12.75"/>
  <cols>
    <col min="1" max="1" width="0.12890625" style="0" customWidth="1"/>
    <col min="2" max="2" width="22.125" style="0" customWidth="1"/>
    <col min="3" max="3" width="6.375" style="0" hidden="1" customWidth="1"/>
    <col min="4" max="4" width="9.125" style="0" hidden="1" customWidth="1"/>
    <col min="5" max="6" width="9.00390625" style="0" hidden="1" customWidth="1"/>
    <col min="7" max="7" width="8.625" style="0" hidden="1" customWidth="1"/>
    <col min="8" max="8" width="8.75390625" style="0" hidden="1" customWidth="1"/>
    <col min="9" max="9" width="9.00390625" style="0" hidden="1" customWidth="1"/>
    <col min="10" max="10" width="8.625" style="0" hidden="1" customWidth="1"/>
    <col min="11" max="11" width="8.25390625" style="0" hidden="1" customWidth="1"/>
    <col min="12" max="12" width="0.12890625" style="0" hidden="1" customWidth="1"/>
    <col min="13" max="13" width="8.875" style="0" customWidth="1"/>
    <col min="14" max="14" width="8.375" style="0" customWidth="1"/>
    <col min="15" max="15" width="8.125" style="0" customWidth="1"/>
    <col min="16" max="16" width="7.875" style="0" customWidth="1"/>
    <col min="17" max="17" width="8.375" style="0" customWidth="1"/>
    <col min="18" max="18" width="8.75390625" style="0" customWidth="1"/>
    <col min="19" max="19" width="8.125" style="0" customWidth="1"/>
    <col min="20" max="20" width="8.625" style="0" customWidth="1"/>
    <col min="21" max="21" width="8.125" style="0" customWidth="1"/>
    <col min="22" max="22" width="8.875" style="0" customWidth="1"/>
    <col min="23" max="23" width="8.375" style="0" customWidth="1"/>
    <col min="24" max="24" width="8.875" style="0" customWidth="1"/>
    <col min="25" max="25" width="9.00390625" style="0" customWidth="1"/>
    <col min="26" max="26" width="10.125" style="0" customWidth="1"/>
  </cols>
  <sheetData>
    <row r="1" spans="2:31" ht="12.75" customHeight="1">
      <c r="B1" s="102" t="s">
        <v>77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2:31" ht="12.75" customHeight="1">
      <c r="B2" s="102" t="s">
        <v>76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3"/>
      <c r="W2" s="103"/>
      <c r="X2" s="103"/>
      <c r="Y2" s="103"/>
      <c r="Z2" s="103"/>
      <c r="AA2" s="4"/>
      <c r="AB2" s="4"/>
      <c r="AC2" s="4"/>
      <c r="AD2" s="4"/>
      <c r="AE2" s="4"/>
    </row>
    <row r="3" spans="2:31" ht="12.75" customHeight="1">
      <c r="B3" s="101" t="s">
        <v>0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3"/>
      <c r="AB3" s="3"/>
      <c r="AC3" s="3"/>
      <c r="AD3" s="3"/>
      <c r="AE3" s="3"/>
    </row>
    <row r="4" spans="2:31" ht="15" customHeight="1">
      <c r="B4" s="100" t="s">
        <v>8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2"/>
      <c r="AB4" s="2"/>
      <c r="AC4" s="2"/>
      <c r="AD4" s="2"/>
      <c r="AE4" s="2"/>
    </row>
    <row r="5" spans="2:31" ht="16.5" customHeight="1" thickBot="1">
      <c r="B5" s="100" t="s">
        <v>43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2"/>
      <c r="AB5" s="2"/>
      <c r="AC5" s="2"/>
      <c r="AD5" s="2"/>
      <c r="AE5" s="2"/>
    </row>
    <row r="6" spans="1:31" ht="33" customHeight="1" thickBot="1">
      <c r="A6" s="8" t="s">
        <v>25</v>
      </c>
      <c r="B6" s="9" t="s">
        <v>5</v>
      </c>
      <c r="C6" s="10" t="s">
        <v>44</v>
      </c>
      <c r="D6" s="11" t="s">
        <v>45</v>
      </c>
      <c r="E6" s="12" t="s">
        <v>48</v>
      </c>
      <c r="F6" s="12" t="s">
        <v>52</v>
      </c>
      <c r="G6" s="12" t="s">
        <v>53</v>
      </c>
      <c r="H6" s="12" t="s">
        <v>57</v>
      </c>
      <c r="I6" s="12" t="s">
        <v>59</v>
      </c>
      <c r="J6" s="12" t="s">
        <v>65</v>
      </c>
      <c r="K6" s="12" t="s">
        <v>67</v>
      </c>
      <c r="L6" s="12" t="s">
        <v>72</v>
      </c>
      <c r="M6" s="13" t="s">
        <v>9</v>
      </c>
      <c r="N6" s="14" t="s">
        <v>10</v>
      </c>
      <c r="O6" s="14" t="s">
        <v>11</v>
      </c>
      <c r="P6" s="14" t="s">
        <v>12</v>
      </c>
      <c r="Q6" s="14" t="s">
        <v>13</v>
      </c>
      <c r="R6" s="14" t="s">
        <v>14</v>
      </c>
      <c r="S6" s="14" t="s">
        <v>15</v>
      </c>
      <c r="T6" s="14" t="s">
        <v>16</v>
      </c>
      <c r="U6" s="14" t="s">
        <v>17</v>
      </c>
      <c r="V6" s="14" t="s">
        <v>18</v>
      </c>
      <c r="W6" s="14" t="s">
        <v>20</v>
      </c>
      <c r="X6" s="15" t="s">
        <v>19</v>
      </c>
      <c r="Y6" s="12" t="s">
        <v>73</v>
      </c>
      <c r="Z6" s="16" t="s">
        <v>74</v>
      </c>
      <c r="AA6" s="1"/>
      <c r="AB6" s="1"/>
      <c r="AC6" s="1"/>
      <c r="AD6" s="1"/>
      <c r="AE6" s="1"/>
    </row>
    <row r="7" spans="1:26" ht="13.5" thickBot="1">
      <c r="A7" s="17" t="s">
        <v>26</v>
      </c>
      <c r="B7" s="18" t="s">
        <v>1</v>
      </c>
      <c r="C7" s="19">
        <v>6591.03</v>
      </c>
      <c r="D7" s="20">
        <v>26532.61</v>
      </c>
      <c r="E7" s="21">
        <v>26802.36</v>
      </c>
      <c r="F7" s="20">
        <v>26847.18</v>
      </c>
      <c r="G7" s="20">
        <v>26892</v>
      </c>
      <c r="H7" s="76">
        <v>26892</v>
      </c>
      <c r="I7" s="20">
        <v>26906.94</v>
      </c>
      <c r="J7" s="20">
        <v>26921.88</v>
      </c>
      <c r="K7" s="20">
        <v>26918.56</v>
      </c>
      <c r="L7" s="20">
        <v>26911.92</v>
      </c>
      <c r="M7" s="73">
        <v>2107.56</v>
      </c>
      <c r="N7" s="73">
        <v>2107.56</v>
      </c>
      <c r="O7" s="73">
        <v>2107.56</v>
      </c>
      <c r="P7" s="73">
        <v>2107.56</v>
      </c>
      <c r="Q7" s="73">
        <v>2107.56</v>
      </c>
      <c r="R7" s="73">
        <v>2107.56</v>
      </c>
      <c r="S7" s="73">
        <v>2107.56</v>
      </c>
      <c r="T7" s="73">
        <v>2107.56</v>
      </c>
      <c r="U7" s="73">
        <v>2107.56</v>
      </c>
      <c r="V7" s="73">
        <v>2107.56</v>
      </c>
      <c r="W7" s="73">
        <v>2107.56</v>
      </c>
      <c r="X7" s="73">
        <v>2107.56</v>
      </c>
      <c r="Y7" s="25">
        <f aca="true" t="shared" si="0" ref="Y7:Y13">SUM(M7:X7)</f>
        <v>25290.720000000005</v>
      </c>
      <c r="Z7" s="79">
        <f>SUM(C7:X7)</f>
        <v>273507.19999999995</v>
      </c>
    </row>
    <row r="8" spans="1:26" ht="13.5" thickBot="1">
      <c r="A8" s="17"/>
      <c r="B8" s="18" t="s">
        <v>68</v>
      </c>
      <c r="C8" s="19"/>
      <c r="D8" s="76"/>
      <c r="E8" s="21"/>
      <c r="F8" s="76"/>
      <c r="G8" s="76"/>
      <c r="H8" s="76"/>
      <c r="I8" s="76"/>
      <c r="J8" s="76">
        <v>0</v>
      </c>
      <c r="K8" s="76">
        <v>1528.76</v>
      </c>
      <c r="L8" s="76">
        <v>974.13</v>
      </c>
      <c r="M8" s="73">
        <f aca="true" t="shared" si="1" ref="M8:R8">13.31+11.78</f>
        <v>25.09</v>
      </c>
      <c r="N8" s="73">
        <f t="shared" si="1"/>
        <v>25.09</v>
      </c>
      <c r="O8" s="73">
        <f t="shared" si="1"/>
        <v>25.09</v>
      </c>
      <c r="P8" s="73">
        <f t="shared" si="1"/>
        <v>25.09</v>
      </c>
      <c r="Q8" s="73">
        <f t="shared" si="1"/>
        <v>25.09</v>
      </c>
      <c r="R8" s="73">
        <f t="shared" si="1"/>
        <v>25.09</v>
      </c>
      <c r="S8" s="23">
        <f aca="true" t="shared" si="2" ref="S8:X8">13.57+13.12</f>
        <v>26.689999999999998</v>
      </c>
      <c r="T8" s="23">
        <f t="shared" si="2"/>
        <v>26.689999999999998</v>
      </c>
      <c r="U8" s="23">
        <f t="shared" si="2"/>
        <v>26.689999999999998</v>
      </c>
      <c r="V8" s="23">
        <f t="shared" si="2"/>
        <v>26.689999999999998</v>
      </c>
      <c r="W8" s="23">
        <f t="shared" si="2"/>
        <v>26.689999999999998</v>
      </c>
      <c r="X8" s="23">
        <f t="shared" si="2"/>
        <v>26.689999999999998</v>
      </c>
      <c r="Y8" s="25">
        <f t="shared" si="0"/>
        <v>310.67999999999995</v>
      </c>
      <c r="Z8" s="79">
        <f>SUM(C8:X8)</f>
        <v>2813.570000000001</v>
      </c>
    </row>
    <row r="9" spans="1:26" s="92" customFormat="1" ht="13.5" thickBot="1">
      <c r="A9" s="84" t="s">
        <v>27</v>
      </c>
      <c r="B9" s="85" t="s">
        <v>2</v>
      </c>
      <c r="C9" s="86">
        <f aca="true" t="shared" si="3" ref="C9:M9">SUM(C10:C24)</f>
        <v>5824.72</v>
      </c>
      <c r="D9" s="87">
        <f t="shared" si="3"/>
        <v>26908.540000000005</v>
      </c>
      <c r="E9" s="88">
        <f t="shared" si="3"/>
        <v>29647.859999999997</v>
      </c>
      <c r="F9" s="87">
        <f t="shared" si="3"/>
        <v>31368.429999999997</v>
      </c>
      <c r="G9" s="87">
        <f t="shared" si="3"/>
        <v>33353.1</v>
      </c>
      <c r="H9" s="87">
        <f>SUM(H10:H24)</f>
        <v>37084.57</v>
      </c>
      <c r="I9" s="87">
        <f>SUM(I10:I24)</f>
        <v>16523.730000000003</v>
      </c>
      <c r="J9" s="87">
        <f>SUM(J10:J24)</f>
        <v>34364.43</v>
      </c>
      <c r="K9" s="87">
        <f>SUM(K10:K24)</f>
        <v>29895.86</v>
      </c>
      <c r="L9" s="87">
        <f t="shared" si="3"/>
        <v>30878.51</v>
      </c>
      <c r="M9" s="89">
        <f t="shared" si="3"/>
        <v>1723.08</v>
      </c>
      <c r="N9" s="89">
        <f aca="true" t="shared" si="4" ref="N9:X9">SUM(N10:N24)</f>
        <v>1496.1499999999999</v>
      </c>
      <c r="O9" s="89">
        <f t="shared" si="4"/>
        <v>1441.84</v>
      </c>
      <c r="P9" s="89">
        <f t="shared" si="4"/>
        <v>1488.8900000000003</v>
      </c>
      <c r="Q9" s="89">
        <f t="shared" si="4"/>
        <v>1637.32</v>
      </c>
      <c r="R9" s="89">
        <f t="shared" si="4"/>
        <v>1469.9</v>
      </c>
      <c r="S9" s="89">
        <f t="shared" si="4"/>
        <v>1546.17</v>
      </c>
      <c r="T9" s="89">
        <f t="shared" si="4"/>
        <v>5060.39</v>
      </c>
      <c r="U9" s="89">
        <f t="shared" si="4"/>
        <v>1318.54</v>
      </c>
      <c r="V9" s="89">
        <f t="shared" si="4"/>
        <v>1900.7899999999997</v>
      </c>
      <c r="W9" s="89">
        <f t="shared" si="4"/>
        <v>1952.59</v>
      </c>
      <c r="X9" s="88">
        <f t="shared" si="4"/>
        <v>2004.23</v>
      </c>
      <c r="Y9" s="90">
        <f t="shared" si="0"/>
        <v>23039.890000000003</v>
      </c>
      <c r="Z9" s="91">
        <f>SUM(C9:X9)</f>
        <v>298889.6400000001</v>
      </c>
    </row>
    <row r="10" spans="1:26" ht="13.5" thickBot="1">
      <c r="A10" s="17" t="s">
        <v>28</v>
      </c>
      <c r="B10" s="30" t="s">
        <v>75</v>
      </c>
      <c r="C10" s="31">
        <v>1941.01</v>
      </c>
      <c r="D10" s="32">
        <v>8012.41</v>
      </c>
      <c r="E10" s="33">
        <v>9033.22</v>
      </c>
      <c r="F10" s="32">
        <v>8756.32</v>
      </c>
      <c r="G10" s="32">
        <v>8317.33</v>
      </c>
      <c r="H10" s="32">
        <v>8191.82</v>
      </c>
      <c r="I10" s="32">
        <v>8024.26</v>
      </c>
      <c r="J10" s="32">
        <v>7969.79</v>
      </c>
      <c r="K10" s="32">
        <v>8046.26</v>
      </c>
      <c r="L10" s="32">
        <v>8112.35</v>
      </c>
      <c r="M10" s="74"/>
      <c r="N10" s="34"/>
      <c r="O10" s="34"/>
      <c r="P10" s="34">
        <v>17.38</v>
      </c>
      <c r="Q10" s="34">
        <v>13.28</v>
      </c>
      <c r="R10" s="34">
        <v>5.49</v>
      </c>
      <c r="S10" s="34">
        <v>14.48</v>
      </c>
      <c r="T10" s="34">
        <v>10.7</v>
      </c>
      <c r="U10" s="34">
        <v>2.68</v>
      </c>
      <c r="V10" s="34">
        <v>9.58</v>
      </c>
      <c r="W10" s="23">
        <v>7.98</v>
      </c>
      <c r="X10" s="24">
        <v>5.4</v>
      </c>
      <c r="Y10" s="35">
        <f t="shared" si="0"/>
        <v>86.97000000000001</v>
      </c>
      <c r="Z10" s="80">
        <f aca="true" t="shared" si="5" ref="Z10:Z24">SUM(C10:X10)</f>
        <v>76491.73999999999</v>
      </c>
    </row>
    <row r="11" spans="1:26" ht="14.25" customHeight="1" thickBot="1">
      <c r="A11" s="17" t="s">
        <v>29</v>
      </c>
      <c r="B11" s="36" t="s">
        <v>63</v>
      </c>
      <c r="C11" s="37">
        <v>1826.84</v>
      </c>
      <c r="D11" s="38">
        <v>7380.56</v>
      </c>
      <c r="E11" s="39">
        <v>3121.42</v>
      </c>
      <c r="F11" s="38">
        <v>2582.18</v>
      </c>
      <c r="G11" s="38">
        <v>6170.33</v>
      </c>
      <c r="H11" s="38">
        <v>715.3</v>
      </c>
      <c r="I11" s="38">
        <v>1078.46</v>
      </c>
      <c r="J11" s="38">
        <v>20.92</v>
      </c>
      <c r="K11" s="38">
        <v>0</v>
      </c>
      <c r="L11" s="38">
        <v>180</v>
      </c>
      <c r="M11" s="73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6"/>
      <c r="Y11" s="35">
        <f t="shared" si="0"/>
        <v>0</v>
      </c>
      <c r="Z11" s="81">
        <f t="shared" si="5"/>
        <v>23076.01</v>
      </c>
    </row>
    <row r="12" spans="1:26" ht="21.75" customHeight="1" thickBot="1">
      <c r="A12" s="17" t="s">
        <v>54</v>
      </c>
      <c r="B12" s="36" t="s">
        <v>55</v>
      </c>
      <c r="C12" s="37"/>
      <c r="D12" s="38"/>
      <c r="E12" s="39"/>
      <c r="F12" s="38"/>
      <c r="G12" s="38">
        <v>0</v>
      </c>
      <c r="H12" s="38">
        <v>2942</v>
      </c>
      <c r="I12" s="38">
        <v>0</v>
      </c>
      <c r="J12" s="38">
        <v>9537.8</v>
      </c>
      <c r="K12" s="38">
        <v>3200.1</v>
      </c>
      <c r="L12" s="38">
        <v>4454.28</v>
      </c>
      <c r="M12" s="73"/>
      <c r="N12" s="22"/>
      <c r="O12" s="22"/>
      <c r="P12" s="22"/>
      <c r="Q12" s="22"/>
      <c r="R12" s="22"/>
      <c r="S12" s="22"/>
      <c r="T12" s="22">
        <v>3108.3</v>
      </c>
      <c r="U12" s="22"/>
      <c r="V12" s="22"/>
      <c r="W12" s="22"/>
      <c r="X12" s="26"/>
      <c r="Y12" s="35">
        <f t="shared" si="0"/>
        <v>3108.3</v>
      </c>
      <c r="Z12" s="81">
        <f>SUM(C12:X12)</f>
        <v>23242.48</v>
      </c>
    </row>
    <row r="13" spans="1:26" ht="15.75" customHeight="1" thickBot="1">
      <c r="A13" s="17"/>
      <c r="B13" s="36" t="s">
        <v>66</v>
      </c>
      <c r="C13" s="37"/>
      <c r="D13" s="38"/>
      <c r="E13" s="39"/>
      <c r="F13" s="38"/>
      <c r="G13" s="38"/>
      <c r="H13" s="38"/>
      <c r="I13" s="38"/>
      <c r="J13" s="38">
        <v>1200</v>
      </c>
      <c r="K13" s="38">
        <v>400</v>
      </c>
      <c r="L13" s="38">
        <v>400</v>
      </c>
      <c r="M13" s="73"/>
      <c r="N13" s="22"/>
      <c r="O13" s="22"/>
      <c r="P13" s="22"/>
      <c r="Q13" s="22"/>
      <c r="R13" s="22"/>
      <c r="S13" s="22"/>
      <c r="T13" s="22"/>
      <c r="U13" s="22"/>
      <c r="V13" s="22">
        <v>300</v>
      </c>
      <c r="W13" s="22"/>
      <c r="X13" s="26"/>
      <c r="Y13" s="35">
        <f t="shared" si="0"/>
        <v>300</v>
      </c>
      <c r="Z13" s="81">
        <f>SUM(C13:X13)</f>
        <v>2300</v>
      </c>
    </row>
    <row r="14" spans="1:26" ht="12.75" customHeight="1" thickBot="1">
      <c r="A14" s="17" t="s">
        <v>30</v>
      </c>
      <c r="B14" s="36" t="s">
        <v>56</v>
      </c>
      <c r="C14" s="37">
        <v>824.52</v>
      </c>
      <c r="D14" s="38">
        <v>884.23</v>
      </c>
      <c r="E14" s="39">
        <v>20.33</v>
      </c>
      <c r="F14" s="38">
        <v>1040.03</v>
      </c>
      <c r="G14" s="38">
        <v>0</v>
      </c>
      <c r="H14" s="38">
        <v>6557.76</v>
      </c>
      <c r="I14" s="38">
        <v>-5293.53</v>
      </c>
      <c r="J14" s="38">
        <v>642.5</v>
      </c>
      <c r="K14" s="38">
        <v>560</v>
      </c>
      <c r="L14" s="38">
        <v>45</v>
      </c>
      <c r="M14" s="73"/>
      <c r="N14" s="22"/>
      <c r="O14" s="22"/>
      <c r="P14" s="22"/>
      <c r="Q14" s="22"/>
      <c r="R14" s="22"/>
      <c r="S14" s="22"/>
      <c r="T14" s="22">
        <v>385</v>
      </c>
      <c r="U14" s="22"/>
      <c r="V14" s="22"/>
      <c r="W14" s="22"/>
      <c r="X14" s="26"/>
      <c r="Y14" s="35">
        <f aca="true" t="shared" si="6" ref="Y14:Y26">SUM(M14:X14)</f>
        <v>385</v>
      </c>
      <c r="Z14" s="81">
        <f t="shared" si="5"/>
        <v>5665.839999999999</v>
      </c>
    </row>
    <row r="15" spans="1:26" ht="25.5" customHeight="1" thickBot="1">
      <c r="A15" s="17" t="s">
        <v>31</v>
      </c>
      <c r="B15" s="36" t="s">
        <v>50</v>
      </c>
      <c r="C15" s="37">
        <v>0</v>
      </c>
      <c r="D15" s="38">
        <v>0</v>
      </c>
      <c r="E15" s="39">
        <v>0</v>
      </c>
      <c r="F15" s="38">
        <v>256</v>
      </c>
      <c r="G15" s="38">
        <v>0</v>
      </c>
      <c r="H15" s="38">
        <v>6.3</v>
      </c>
      <c r="I15" s="38">
        <v>52.96</v>
      </c>
      <c r="J15" s="38">
        <v>51</v>
      </c>
      <c r="K15" s="38">
        <v>383.72</v>
      </c>
      <c r="L15" s="38">
        <v>78</v>
      </c>
      <c r="M15" s="73">
        <v>25.43</v>
      </c>
      <c r="N15" s="22">
        <v>13</v>
      </c>
      <c r="O15" s="22"/>
      <c r="P15" s="22"/>
      <c r="Q15" s="22"/>
      <c r="R15" s="22"/>
      <c r="S15" s="22"/>
      <c r="T15" s="22"/>
      <c r="U15" s="22"/>
      <c r="V15" s="22"/>
      <c r="W15" s="22"/>
      <c r="X15" s="26"/>
      <c r="Y15" s="35">
        <f t="shared" si="6"/>
        <v>38.43</v>
      </c>
      <c r="Z15" s="81">
        <f t="shared" si="5"/>
        <v>866.41</v>
      </c>
    </row>
    <row r="16" spans="1:26" ht="12" customHeight="1" thickBot="1">
      <c r="A16" s="17" t="s">
        <v>32</v>
      </c>
      <c r="B16" s="36" t="s">
        <v>69</v>
      </c>
      <c r="C16" s="37">
        <v>875.6</v>
      </c>
      <c r="D16" s="38">
        <v>2400.21</v>
      </c>
      <c r="E16" s="39">
        <v>1407.36</v>
      </c>
      <c r="F16" s="38">
        <v>596.04</v>
      </c>
      <c r="G16" s="38">
        <v>0</v>
      </c>
      <c r="H16" s="38"/>
      <c r="I16" s="38">
        <v>0</v>
      </c>
      <c r="J16" s="38">
        <v>0</v>
      </c>
      <c r="K16" s="38">
        <v>1325.28</v>
      </c>
      <c r="L16" s="38">
        <v>674.01</v>
      </c>
      <c r="M16" s="73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6"/>
      <c r="Y16" s="29">
        <f t="shared" si="6"/>
        <v>0</v>
      </c>
      <c r="Z16" s="80">
        <f t="shared" si="5"/>
        <v>7278.5</v>
      </c>
    </row>
    <row r="17" spans="1:26" ht="15.75" customHeight="1" thickBot="1">
      <c r="A17" s="17"/>
      <c r="B17" s="36" t="s">
        <v>70</v>
      </c>
      <c r="C17" s="37"/>
      <c r="D17" s="38"/>
      <c r="E17" s="39"/>
      <c r="F17" s="38"/>
      <c r="G17" s="38"/>
      <c r="H17" s="38"/>
      <c r="I17" s="38"/>
      <c r="J17" s="38"/>
      <c r="K17" s="38">
        <v>126.29</v>
      </c>
      <c r="L17" s="38">
        <v>159.24</v>
      </c>
      <c r="M17" s="73">
        <v>13.31</v>
      </c>
      <c r="N17" s="73">
        <v>13.31</v>
      </c>
      <c r="O17" s="73">
        <v>13.31</v>
      </c>
      <c r="P17" s="73">
        <v>13.31</v>
      </c>
      <c r="Q17" s="73">
        <v>13.31</v>
      </c>
      <c r="R17" s="73">
        <v>13.31</v>
      </c>
      <c r="S17" s="73">
        <v>13.31</v>
      </c>
      <c r="T17" s="22">
        <v>13.81</v>
      </c>
      <c r="U17" s="22">
        <v>13.81</v>
      </c>
      <c r="V17" s="22">
        <v>13.81</v>
      </c>
      <c r="W17" s="22">
        <v>13.81</v>
      </c>
      <c r="X17" s="22">
        <v>13.81</v>
      </c>
      <c r="Y17" s="35">
        <f>SUM(M17:X17)</f>
        <v>162.22</v>
      </c>
      <c r="Z17" s="78">
        <f>SUM(C17:X17)</f>
        <v>447.75000000000006</v>
      </c>
    </row>
    <row r="18" spans="1:26" ht="15.75" customHeight="1" thickBot="1">
      <c r="A18" s="17"/>
      <c r="B18" s="36" t="s">
        <v>71</v>
      </c>
      <c r="C18" s="37"/>
      <c r="D18" s="38"/>
      <c r="E18" s="39"/>
      <c r="F18" s="38"/>
      <c r="G18" s="38"/>
      <c r="H18" s="38"/>
      <c r="I18" s="38"/>
      <c r="J18" s="38"/>
      <c r="K18" s="38">
        <v>81.49</v>
      </c>
      <c r="L18" s="38">
        <v>140.82</v>
      </c>
      <c r="M18" s="73">
        <v>11.79</v>
      </c>
      <c r="N18" s="73">
        <v>11.79</v>
      </c>
      <c r="O18" s="73">
        <v>11.79</v>
      </c>
      <c r="P18" s="73">
        <v>11.79</v>
      </c>
      <c r="Q18" s="73">
        <v>11.79</v>
      </c>
      <c r="R18" s="73">
        <v>11.79</v>
      </c>
      <c r="S18" s="73">
        <v>11.79</v>
      </c>
      <c r="T18" s="22">
        <v>13.11</v>
      </c>
      <c r="U18" s="22">
        <v>13.11</v>
      </c>
      <c r="V18" s="22">
        <v>13.11</v>
      </c>
      <c r="W18" s="22">
        <v>13.11</v>
      </c>
      <c r="X18" s="22">
        <v>13.11</v>
      </c>
      <c r="Y18" s="29">
        <f>SUM(M18:X18)</f>
        <v>148.07999999999998</v>
      </c>
      <c r="Z18" s="80">
        <f>SUM(C18:X18)</f>
        <v>370.39000000000016</v>
      </c>
    </row>
    <row r="19" spans="1:26" ht="14.25" customHeight="1" thickBot="1">
      <c r="A19" s="17" t="s">
        <v>33</v>
      </c>
      <c r="B19" s="36" t="s">
        <v>4</v>
      </c>
      <c r="C19" s="37">
        <v>34.53</v>
      </c>
      <c r="D19" s="38">
        <v>221.4</v>
      </c>
      <c r="E19" s="39">
        <v>123.25</v>
      </c>
      <c r="F19" s="38">
        <v>101.39</v>
      </c>
      <c r="G19" s="38">
        <v>116.84</v>
      </c>
      <c r="H19" s="38"/>
      <c r="I19" s="38">
        <v>0</v>
      </c>
      <c r="J19" s="38">
        <v>0</v>
      </c>
      <c r="K19" s="38">
        <v>0</v>
      </c>
      <c r="L19" s="38">
        <v>0</v>
      </c>
      <c r="M19" s="73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6"/>
      <c r="Y19" s="35">
        <f t="shared" si="6"/>
        <v>0</v>
      </c>
      <c r="Z19" s="81">
        <f>SUM(C19:X19)</f>
        <v>597.41</v>
      </c>
    </row>
    <row r="20" spans="1:26" ht="32.25" customHeight="1" thickBot="1">
      <c r="A20" s="17" t="s">
        <v>34</v>
      </c>
      <c r="B20" s="36" t="s">
        <v>60</v>
      </c>
      <c r="C20" s="37">
        <v>0</v>
      </c>
      <c r="D20" s="38">
        <v>365.41</v>
      </c>
      <c r="E20" s="39">
        <v>1306.63</v>
      </c>
      <c r="F20" s="38">
        <v>1679.61</v>
      </c>
      <c r="G20" s="38">
        <v>1461.14</v>
      </c>
      <c r="H20" s="38">
        <v>1100.21</v>
      </c>
      <c r="I20" s="38">
        <v>1298.44</v>
      </c>
      <c r="J20" s="38">
        <v>1373.72</v>
      </c>
      <c r="K20" s="38">
        <v>1395.47</v>
      </c>
      <c r="L20" s="38">
        <v>1466.1</v>
      </c>
      <c r="M20" s="73">
        <v>118.09</v>
      </c>
      <c r="N20" s="22">
        <v>123.79</v>
      </c>
      <c r="O20" s="22">
        <v>98.29</v>
      </c>
      <c r="P20" s="22">
        <v>117.72</v>
      </c>
      <c r="Q20" s="22">
        <v>97.93</v>
      </c>
      <c r="R20" s="22">
        <v>75.09</v>
      </c>
      <c r="S20" s="22">
        <v>78.48</v>
      </c>
      <c r="T20" s="22">
        <v>66.52</v>
      </c>
      <c r="U20" s="22">
        <v>74.79</v>
      </c>
      <c r="V20" s="22">
        <v>154.88</v>
      </c>
      <c r="W20" s="22">
        <v>97.93</v>
      </c>
      <c r="X20" s="26">
        <v>83.32</v>
      </c>
      <c r="Y20" s="29">
        <f t="shared" si="6"/>
        <v>1186.83</v>
      </c>
      <c r="Z20" s="80">
        <f t="shared" si="5"/>
        <v>12633.560000000001</v>
      </c>
    </row>
    <row r="21" spans="1:26" ht="21" customHeight="1" thickBot="1">
      <c r="A21" s="17" t="s">
        <v>35</v>
      </c>
      <c r="B21" s="36" t="s">
        <v>61</v>
      </c>
      <c r="C21" s="37">
        <v>128.02</v>
      </c>
      <c r="D21" s="38">
        <v>656.59</v>
      </c>
      <c r="E21" s="39">
        <v>711.34</v>
      </c>
      <c r="F21" s="38">
        <v>213.65</v>
      </c>
      <c r="G21" s="38">
        <v>152.19</v>
      </c>
      <c r="H21" s="38">
        <v>330.98</v>
      </c>
      <c r="I21" s="38">
        <v>223.77</v>
      </c>
      <c r="J21" s="38">
        <v>195.44</v>
      </c>
      <c r="K21" s="38">
        <v>152.65</v>
      </c>
      <c r="L21" s="38">
        <v>147.88</v>
      </c>
      <c r="M21" s="73">
        <v>9.34</v>
      </c>
      <c r="N21" s="22">
        <v>8.06</v>
      </c>
      <c r="O21" s="22">
        <v>7.02</v>
      </c>
      <c r="P21" s="22">
        <v>8.17</v>
      </c>
      <c r="Q21" s="22">
        <v>0.86</v>
      </c>
      <c r="R21" s="22">
        <v>12.24</v>
      </c>
      <c r="S21" s="22">
        <v>13.73</v>
      </c>
      <c r="T21" s="22">
        <v>15.99</v>
      </c>
      <c r="U21" s="22">
        <v>23.77</v>
      </c>
      <c r="V21" s="22">
        <v>5.88</v>
      </c>
      <c r="W21" s="22">
        <v>21.69</v>
      </c>
      <c r="X21" s="26">
        <v>7.63</v>
      </c>
      <c r="Y21" s="35">
        <f t="shared" si="6"/>
        <v>134.38</v>
      </c>
      <c r="Z21" s="81">
        <f t="shared" si="5"/>
        <v>3046.890000000001</v>
      </c>
    </row>
    <row r="22" spans="1:26" ht="35.25" customHeight="1" thickBot="1">
      <c r="A22" s="17" t="s">
        <v>36</v>
      </c>
      <c r="B22" s="36" t="s">
        <v>62</v>
      </c>
      <c r="C22" s="37">
        <v>0</v>
      </c>
      <c r="D22" s="38">
        <v>262.43</v>
      </c>
      <c r="E22" s="39">
        <v>1130.16</v>
      </c>
      <c r="F22" s="38">
        <v>1111.06</v>
      </c>
      <c r="G22" s="38">
        <v>1492.81</v>
      </c>
      <c r="H22" s="38">
        <v>1283.37</v>
      </c>
      <c r="I22" s="38">
        <v>1674.23</v>
      </c>
      <c r="J22" s="38">
        <v>1429.46</v>
      </c>
      <c r="K22" s="38">
        <v>1454.86</v>
      </c>
      <c r="L22" s="38">
        <v>1648.71</v>
      </c>
      <c r="M22" s="73">
        <f>5.83+56.51+69.6</f>
        <v>131.94</v>
      </c>
      <c r="N22" s="22">
        <f>5.5+78.73+67.47</f>
        <v>151.7</v>
      </c>
      <c r="O22" s="22">
        <f>70.37+4.78+52.49</f>
        <v>127.64000000000001</v>
      </c>
      <c r="P22" s="22">
        <f>5.11+58.04+86.48</f>
        <v>149.63</v>
      </c>
      <c r="Q22" s="22">
        <f>4.99+64.08+50.54</f>
        <v>119.60999999999999</v>
      </c>
      <c r="R22" s="22">
        <f>5.8+44.6+89.49</f>
        <v>139.89</v>
      </c>
      <c r="S22" s="22">
        <f>5.58+75.54+40.76</f>
        <v>121.88</v>
      </c>
      <c r="T22" s="22">
        <f>5.11+46.44+64.97</f>
        <v>116.52</v>
      </c>
      <c r="U22" s="22">
        <f>3.72+41.3+59.16</f>
        <v>104.17999999999999</v>
      </c>
      <c r="V22" s="22">
        <f>3.77+66.16+168.1</f>
        <v>238.02999999999997</v>
      </c>
      <c r="W22" s="22">
        <f>4.17+41.6+43.29</f>
        <v>89.06</v>
      </c>
      <c r="X22" s="26">
        <f>4.16+125.81+72.67</f>
        <v>202.64</v>
      </c>
      <c r="Y22" s="29">
        <f t="shared" si="6"/>
        <v>1692.7199999999998</v>
      </c>
      <c r="Z22" s="80">
        <f t="shared" si="5"/>
        <v>13179.81</v>
      </c>
    </row>
    <row r="23" spans="1:26" ht="12" customHeight="1" thickBot="1">
      <c r="A23" s="17" t="s">
        <v>37</v>
      </c>
      <c r="B23" s="36" t="s">
        <v>7</v>
      </c>
      <c r="C23" s="37">
        <v>130.98</v>
      </c>
      <c r="D23" s="38">
        <v>5896.92</v>
      </c>
      <c r="E23" s="39">
        <v>11047.03</v>
      </c>
      <c r="F23" s="38">
        <v>13953.99</v>
      </c>
      <c r="G23" s="38">
        <v>14748.87</v>
      </c>
      <c r="H23" s="38">
        <v>15097.79</v>
      </c>
      <c r="I23" s="38">
        <v>8526.32</v>
      </c>
      <c r="J23" s="38">
        <v>11024.76</v>
      </c>
      <c r="K23" s="38">
        <v>10961.61</v>
      </c>
      <c r="L23" s="38">
        <v>12277.24</v>
      </c>
      <c r="M23" s="73">
        <f>1723.08-426.52</f>
        <v>1296.56</v>
      </c>
      <c r="N23" s="22">
        <f>1496.15-402.18</f>
        <v>1093.97</v>
      </c>
      <c r="O23" s="22">
        <f>1441.84-338.58</f>
        <v>1103.26</v>
      </c>
      <c r="P23" s="22">
        <f>1488.89-378.65</f>
        <v>1110.2400000000002</v>
      </c>
      <c r="Q23" s="22">
        <f>1637.32-352.59</f>
        <v>1284.73</v>
      </c>
      <c r="R23" s="22">
        <f>1469.9-319.98</f>
        <v>1149.92</v>
      </c>
      <c r="S23" s="22">
        <f>1546.17-334.38</f>
        <v>1211.79</v>
      </c>
      <c r="T23" s="22">
        <f>5060.39-3810.34</f>
        <v>1250.0500000000002</v>
      </c>
      <c r="U23" s="22">
        <f>1318.54-313.78</f>
        <v>1004.76</v>
      </c>
      <c r="V23" s="22">
        <f>1900.79-798.57</f>
        <v>1102.2199999999998</v>
      </c>
      <c r="W23" s="22">
        <f>1952.59-345.24</f>
        <v>1607.35</v>
      </c>
      <c r="X23" s="26">
        <f>2004.23-411.1</f>
        <v>1593.13</v>
      </c>
      <c r="Y23" s="35">
        <f t="shared" si="6"/>
        <v>14807.98</v>
      </c>
      <c r="Z23" s="81">
        <f t="shared" si="5"/>
        <v>118473.48999999999</v>
      </c>
    </row>
    <row r="24" spans="1:26" ht="13.5" customHeight="1" thickBot="1">
      <c r="A24" s="17" t="s">
        <v>51</v>
      </c>
      <c r="B24" s="40" t="s">
        <v>3</v>
      </c>
      <c r="C24" s="41">
        <v>63.22</v>
      </c>
      <c r="D24" s="42">
        <v>828.38</v>
      </c>
      <c r="E24" s="43">
        <v>1747.12</v>
      </c>
      <c r="F24" s="42">
        <v>1078.16</v>
      </c>
      <c r="G24" s="42">
        <v>893.59</v>
      </c>
      <c r="H24" s="42">
        <v>859.04</v>
      </c>
      <c r="I24" s="42">
        <v>938.82</v>
      </c>
      <c r="J24" s="42">
        <v>919.04</v>
      </c>
      <c r="K24" s="42">
        <v>1808.13</v>
      </c>
      <c r="L24" s="42">
        <v>1094.88</v>
      </c>
      <c r="M24" s="75">
        <f>1.29+115.33</f>
        <v>116.62</v>
      </c>
      <c r="N24" s="44">
        <f>0.95+79.58</f>
        <v>80.53</v>
      </c>
      <c r="O24" s="44">
        <f>0.95+79.58</f>
        <v>80.53</v>
      </c>
      <c r="P24" s="44">
        <f>0.71+59.94</f>
        <v>60.65</v>
      </c>
      <c r="Q24" s="44">
        <f>1.13+94.68</f>
        <v>95.81</v>
      </c>
      <c r="R24" s="44">
        <f>0.73+61.44</f>
        <v>62.169999999999995</v>
      </c>
      <c r="S24" s="44">
        <f>0.95+79.76</f>
        <v>80.71000000000001</v>
      </c>
      <c r="T24" s="44">
        <f>1.01+79.38</f>
        <v>80.39</v>
      </c>
      <c r="U24" s="44">
        <f>1.02+80.42</f>
        <v>81.44</v>
      </c>
      <c r="V24" s="44">
        <f>0.79+62.49</f>
        <v>63.28</v>
      </c>
      <c r="W24" s="44">
        <f>1.27+100.39</f>
        <v>101.66</v>
      </c>
      <c r="X24" s="45">
        <f>1.06+84.13</f>
        <v>85.19</v>
      </c>
      <c r="Y24" s="29">
        <f t="shared" si="6"/>
        <v>988.9799999999998</v>
      </c>
      <c r="Z24" s="80">
        <f t="shared" si="5"/>
        <v>11219.360000000002</v>
      </c>
    </row>
    <row r="25" spans="1:26" ht="13.5" customHeight="1" thickBot="1">
      <c r="A25" s="17"/>
      <c r="B25" s="51" t="s">
        <v>58</v>
      </c>
      <c r="C25" s="47"/>
      <c r="D25" s="48"/>
      <c r="E25" s="49"/>
      <c r="F25" s="48"/>
      <c r="G25" s="48"/>
      <c r="H25" s="27">
        <f>H7*5%</f>
        <v>1344.6000000000001</v>
      </c>
      <c r="I25" s="35">
        <f>I7*5%</f>
        <v>1345.347</v>
      </c>
      <c r="J25" s="82">
        <f>J7*5%</f>
        <v>1346.094</v>
      </c>
      <c r="K25" s="83">
        <f>K7*5%</f>
        <v>1345.928</v>
      </c>
      <c r="L25" s="82">
        <f>L7*5%</f>
        <v>1345.596</v>
      </c>
      <c r="M25" s="83">
        <f>(M7+M8)*5%</f>
        <v>106.63250000000001</v>
      </c>
      <c r="N25" s="83">
        <f aca="true" t="shared" si="7" ref="N25:X25">(N7+N8)*5%</f>
        <v>106.63250000000001</v>
      </c>
      <c r="O25" s="83">
        <f t="shared" si="7"/>
        <v>106.63250000000001</v>
      </c>
      <c r="P25" s="83">
        <f t="shared" si="7"/>
        <v>106.63250000000001</v>
      </c>
      <c r="Q25" s="83">
        <f t="shared" si="7"/>
        <v>106.63250000000001</v>
      </c>
      <c r="R25" s="83">
        <f t="shared" si="7"/>
        <v>106.63250000000001</v>
      </c>
      <c r="S25" s="83">
        <f t="shared" si="7"/>
        <v>106.7125</v>
      </c>
      <c r="T25" s="83">
        <f t="shared" si="7"/>
        <v>106.7125</v>
      </c>
      <c r="U25" s="83">
        <f t="shared" si="7"/>
        <v>106.7125</v>
      </c>
      <c r="V25" s="83">
        <f t="shared" si="7"/>
        <v>106.7125</v>
      </c>
      <c r="W25" s="83">
        <f t="shared" si="7"/>
        <v>106.7125</v>
      </c>
      <c r="X25" s="83">
        <f t="shared" si="7"/>
        <v>106.7125</v>
      </c>
      <c r="Y25" s="35">
        <f t="shared" si="6"/>
        <v>1280.0700000000002</v>
      </c>
      <c r="Z25" s="78"/>
    </row>
    <row r="26" spans="1:26" ht="13.5" customHeight="1" thickBot="1">
      <c r="A26" s="17" t="s">
        <v>38</v>
      </c>
      <c r="B26" s="46" t="s">
        <v>49</v>
      </c>
      <c r="C26" s="47"/>
      <c r="D26" s="48"/>
      <c r="E26" s="49"/>
      <c r="F26" s="48"/>
      <c r="G26" s="48"/>
      <c r="H26" s="48"/>
      <c r="I26" s="48"/>
      <c r="J26" s="48"/>
      <c r="K26" s="35">
        <f aca="true" t="shared" si="8" ref="K26:X26">SUM(K7+K8-K9)-K25</f>
        <v>-2794.4680000000008</v>
      </c>
      <c r="L26" s="35">
        <f>SUM(L7+L8-L9)-L25</f>
        <v>-4338.055999999999</v>
      </c>
      <c r="M26" s="77">
        <f t="shared" si="8"/>
        <v>302.93750000000017</v>
      </c>
      <c r="N26" s="77">
        <f t="shared" si="8"/>
        <v>529.8675000000002</v>
      </c>
      <c r="O26" s="77">
        <f t="shared" si="8"/>
        <v>584.1775000000001</v>
      </c>
      <c r="P26" s="77">
        <f t="shared" si="8"/>
        <v>537.1274999999997</v>
      </c>
      <c r="Q26" s="77">
        <f t="shared" si="8"/>
        <v>388.69750000000016</v>
      </c>
      <c r="R26" s="77">
        <f t="shared" si="8"/>
        <v>556.1175</v>
      </c>
      <c r="S26" s="77">
        <f t="shared" si="8"/>
        <v>481.36749999999995</v>
      </c>
      <c r="T26" s="77">
        <f t="shared" si="8"/>
        <v>-3032.8525000000004</v>
      </c>
      <c r="U26" s="77">
        <f t="shared" si="8"/>
        <v>708.9975000000001</v>
      </c>
      <c r="V26" s="77">
        <f t="shared" si="8"/>
        <v>126.74750000000026</v>
      </c>
      <c r="W26" s="77">
        <f t="shared" si="8"/>
        <v>74.94750000000008</v>
      </c>
      <c r="X26" s="77">
        <f t="shared" si="8"/>
        <v>23.307499999999976</v>
      </c>
      <c r="Y26" s="35">
        <f t="shared" si="6"/>
        <v>1281.4399999999996</v>
      </c>
      <c r="Z26" s="78"/>
    </row>
    <row r="27" spans="1:26" ht="15.75" customHeight="1" thickBot="1">
      <c r="A27" s="84" t="s">
        <v>39</v>
      </c>
      <c r="B27" s="93" t="s">
        <v>21</v>
      </c>
      <c r="C27" s="94"/>
      <c r="D27" s="95">
        <v>-375.92</v>
      </c>
      <c r="E27" s="96">
        <f>SUM(E7-E9)</f>
        <v>-2845.4999999999964</v>
      </c>
      <c r="F27" s="87">
        <f>SUM(F7-F9)</f>
        <v>-4521.249999999996</v>
      </c>
      <c r="G27" s="87">
        <f>SUM(G7-G9)</f>
        <v>-6461.0999999999985</v>
      </c>
      <c r="H27" s="87">
        <f>SUM(H7-H9)-H25</f>
        <v>-11537.17</v>
      </c>
      <c r="I27" s="97">
        <f>SUM(I7-I9)-I25</f>
        <v>9037.862999999996</v>
      </c>
      <c r="J27" s="97">
        <f>SUM(J7-J9)-J25</f>
        <v>-8788.644</v>
      </c>
      <c r="K27" s="97">
        <f>SUM(K7+K8-K9)-K25</f>
        <v>-2794.4680000000008</v>
      </c>
      <c r="L27" s="97">
        <f>SUM(L7+L8-L9)-L25</f>
        <v>-4338.055999999999</v>
      </c>
      <c r="M27" s="98">
        <f>SUM(M7+M8-M9)-M25</f>
        <v>302.93750000000017</v>
      </c>
      <c r="N27" s="98">
        <f>SUM(N26+M27)</f>
        <v>832.8050000000003</v>
      </c>
      <c r="O27" s="98">
        <f aca="true" t="shared" si="9" ref="O27:X27">SUM(O26+N27)</f>
        <v>1416.9825000000005</v>
      </c>
      <c r="P27" s="98">
        <f t="shared" si="9"/>
        <v>1954.1100000000001</v>
      </c>
      <c r="Q27" s="98">
        <f t="shared" si="9"/>
        <v>2342.8075000000003</v>
      </c>
      <c r="R27" s="98">
        <f t="shared" si="9"/>
        <v>2898.925</v>
      </c>
      <c r="S27" s="98">
        <f t="shared" si="9"/>
        <v>3380.2925</v>
      </c>
      <c r="T27" s="98">
        <f t="shared" si="9"/>
        <v>347.4399999999996</v>
      </c>
      <c r="U27" s="98">
        <f t="shared" si="9"/>
        <v>1056.4374999999995</v>
      </c>
      <c r="V27" s="98">
        <f t="shared" si="9"/>
        <v>1183.1849999999997</v>
      </c>
      <c r="W27" s="98">
        <f t="shared" si="9"/>
        <v>1258.1324999999997</v>
      </c>
      <c r="X27" s="98">
        <f t="shared" si="9"/>
        <v>1281.4399999999996</v>
      </c>
      <c r="Y27" s="87"/>
      <c r="Z27" s="99"/>
    </row>
    <row r="28" spans="1:26" ht="24" customHeight="1" thickBot="1">
      <c r="A28" s="17" t="s">
        <v>40</v>
      </c>
      <c r="B28" s="53" t="s">
        <v>22</v>
      </c>
      <c r="C28" s="50"/>
      <c r="D28" s="51">
        <v>390.39</v>
      </c>
      <c r="E28" s="56">
        <f>SUM(E7-E9,D28)</f>
        <v>-2455.1099999999965</v>
      </c>
      <c r="F28" s="27">
        <f>SUM(F7-F9,E28)</f>
        <v>-6976.359999999993</v>
      </c>
      <c r="G28" s="27">
        <f>SUM(G7-G9,F28)</f>
        <v>-13437.459999999992</v>
      </c>
      <c r="H28" s="27">
        <f aca="true" t="shared" si="10" ref="H28:M28">SUM(H27+G28)</f>
        <v>-24974.62999999999</v>
      </c>
      <c r="I28" s="35">
        <f t="shared" si="10"/>
        <v>-15936.766999999994</v>
      </c>
      <c r="J28" s="35">
        <f t="shared" si="10"/>
        <v>-24725.410999999993</v>
      </c>
      <c r="K28" s="35">
        <f t="shared" si="10"/>
        <v>-27519.878999999994</v>
      </c>
      <c r="L28" s="35">
        <f t="shared" si="10"/>
        <v>-31857.93499999999</v>
      </c>
      <c r="M28" s="35">
        <f t="shared" si="10"/>
        <v>-31554.99749999999</v>
      </c>
      <c r="N28" s="35">
        <f>SUM(N26+M28)</f>
        <v>-31025.12999999999</v>
      </c>
      <c r="O28" s="35">
        <f aca="true" t="shared" si="11" ref="O28:W28">SUM(O26+N28)</f>
        <v>-30440.95249999999</v>
      </c>
      <c r="P28" s="35">
        <f t="shared" si="11"/>
        <v>-29903.82499999999</v>
      </c>
      <c r="Q28" s="35">
        <f t="shared" si="11"/>
        <v>-29515.12749999999</v>
      </c>
      <c r="R28" s="35">
        <f t="shared" si="11"/>
        <v>-28959.00999999999</v>
      </c>
      <c r="S28" s="35">
        <f t="shared" si="11"/>
        <v>-28477.64249999999</v>
      </c>
      <c r="T28" s="35">
        <f t="shared" si="11"/>
        <v>-31510.49499999999</v>
      </c>
      <c r="U28" s="35">
        <f t="shared" si="11"/>
        <v>-30801.49749999999</v>
      </c>
      <c r="V28" s="35">
        <f t="shared" si="11"/>
        <v>-30674.74999999999</v>
      </c>
      <c r="W28" s="35">
        <f t="shared" si="11"/>
        <v>-30599.80249999999</v>
      </c>
      <c r="X28" s="35">
        <f>SUM(X26+W28)</f>
        <v>-30576.49499999999</v>
      </c>
      <c r="Y28" s="27"/>
      <c r="Z28" s="78"/>
    </row>
    <row r="29" spans="1:26" ht="12.75" customHeight="1" hidden="1" thickBot="1">
      <c r="A29" s="17" t="s">
        <v>40</v>
      </c>
      <c r="B29" s="51" t="s">
        <v>6</v>
      </c>
      <c r="C29" s="54"/>
      <c r="D29" s="51"/>
      <c r="E29" s="55"/>
      <c r="F29" s="55"/>
      <c r="G29" s="55"/>
      <c r="H29" s="55"/>
      <c r="I29" s="55"/>
      <c r="J29" s="55"/>
      <c r="K29" s="55"/>
      <c r="L29" s="55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56"/>
      <c r="Y29" s="27"/>
      <c r="Z29" s="57"/>
    </row>
    <row r="30" spans="1:26" ht="15" customHeight="1" hidden="1" thickBot="1">
      <c r="A30" s="17" t="s">
        <v>41</v>
      </c>
      <c r="B30" s="58" t="s">
        <v>23</v>
      </c>
      <c r="C30" s="47"/>
      <c r="D30" s="48"/>
      <c r="E30" s="49"/>
      <c r="F30" s="49"/>
      <c r="G30" s="49"/>
      <c r="H30" s="49"/>
      <c r="I30" s="49"/>
      <c r="J30" s="49"/>
      <c r="K30" s="49"/>
      <c r="L30" s="4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60"/>
      <c r="Y30" s="61"/>
      <c r="Z30" s="52"/>
    </row>
    <row r="31" spans="1:26" ht="18.75" customHeight="1" hidden="1" thickBot="1">
      <c r="A31" s="62" t="s">
        <v>42</v>
      </c>
      <c r="B31" s="63" t="s">
        <v>47</v>
      </c>
      <c r="C31" s="64"/>
      <c r="D31" s="65"/>
      <c r="E31" s="66"/>
      <c r="F31" s="66"/>
      <c r="G31" s="66"/>
      <c r="H31" s="66"/>
      <c r="I31" s="66"/>
      <c r="J31" s="66"/>
      <c r="K31" s="66"/>
      <c r="L31" s="66"/>
      <c r="M31" s="67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9">
        <f>SUM(X27-X29)</f>
        <v>1281.4399999999996</v>
      </c>
      <c r="Y31" s="70"/>
      <c r="Z31" s="71"/>
    </row>
    <row r="32" spans="1:26" ht="24" customHeight="1" hidden="1" thickBot="1">
      <c r="A32" s="62" t="s">
        <v>46</v>
      </c>
      <c r="B32" s="63" t="s">
        <v>24</v>
      </c>
      <c r="C32" s="64"/>
      <c r="D32" s="65"/>
      <c r="E32" s="66"/>
      <c r="F32" s="5"/>
      <c r="G32" s="5"/>
      <c r="H32" s="5"/>
      <c r="I32" s="5"/>
      <c r="J32" s="5"/>
      <c r="K32" s="5"/>
      <c r="L32" s="5"/>
      <c r="M32" s="72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9">
        <f>SUM(X28-X29)</f>
        <v>-30576.49499999999</v>
      </c>
      <c r="Y32" s="70"/>
      <c r="Z32" s="71"/>
    </row>
    <row r="33" spans="2:26" ht="0.75" customHeight="1" hidden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7"/>
    </row>
    <row r="34" spans="13:26" ht="24" customHeight="1" hidden="1"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7"/>
    </row>
    <row r="35" ht="12.75" hidden="1"/>
    <row r="36" ht="12.75" hidden="1"/>
    <row r="37" ht="12.75" hidden="1"/>
    <row r="38" ht="12.75" hidden="1"/>
    <row r="39" ht="12.75">
      <c r="B39" t="s">
        <v>64</v>
      </c>
    </row>
    <row r="43" ht="12.75" customHeight="1"/>
    <row r="44" ht="12.75" customHeight="1"/>
  </sheetData>
  <sheetProtection/>
  <mergeCells count="5">
    <mergeCell ref="B4:Z4"/>
    <mergeCell ref="B5:Z5"/>
    <mergeCell ref="B3:Z3"/>
    <mergeCell ref="B1:O1"/>
    <mergeCell ref="B2:Z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2020-02-20T05:17:52Z</cp:lastPrinted>
  <dcterms:created xsi:type="dcterms:W3CDTF">2011-06-16T11:06:26Z</dcterms:created>
  <dcterms:modified xsi:type="dcterms:W3CDTF">2020-02-20T05:17:55Z</dcterms:modified>
  <cp:category/>
  <cp:version/>
  <cp:contentType/>
  <cp:contentStatus/>
</cp:coreProperties>
</file>