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<sst xmlns="http://schemas.openxmlformats.org/spreadsheetml/2006/main" count="72" uniqueCount="71">
  <si>
    <t>СПРАВКА</t>
  </si>
  <si>
    <t xml:space="preserve">Начислено  </t>
  </si>
  <si>
    <t>Расходы</t>
  </si>
  <si>
    <t>Услуги РИРЦ</t>
  </si>
  <si>
    <t>Наименование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</si>
  <si>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</si>
  <si>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</si>
  <si>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</si>
  <si>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</si>
  <si>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</si>
  <si>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</si>
  <si>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</si>
  <si>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</si>
  <si>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</si>
  <si>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</si>
  <si>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</si>
  <si>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</si>
  <si>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</si>
  <si>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</si>
  <si>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</si>
  <si>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</si>
  <si>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№</t>
  </si>
  <si>
    <t>1</t>
  </si>
  <si>
    <t>4</t>
  </si>
  <si>
    <t>4.1</t>
  </si>
  <si>
    <t>4.2</t>
  </si>
  <si>
    <t>4.4</t>
  </si>
  <si>
    <t>4.5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</si>
  <si>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</si>
  <si>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</si>
  <si>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</si>
  <si>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</si>
  <si>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</si>
  <si>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</si>
  <si>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</si>
  <si>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</si>
  <si>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</si>
  <si>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</si>
  <si>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10</t>
  </si>
  <si>
    <t>Результат за месяц</t>
  </si>
  <si>
    <t>Благоустройство территории</t>
  </si>
  <si>
    <t>4.12</t>
  </si>
  <si>
    <t>рентабельность 5%</t>
  </si>
  <si>
    <t>по жилому дому г. Унеча пер.Мира д.1</t>
  </si>
  <si>
    <t>Итого за 2015 г</t>
  </si>
  <si>
    <t>Услуги сторонних орган.</t>
  </si>
  <si>
    <t xml:space="preserve">Материалы 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</si>
  <si>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</si>
  <si>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</si>
  <si>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</si>
  <si>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экономист /ВиктороваЛ.С./</t>
  </si>
  <si>
    <t>2717,67</t>
  </si>
  <si>
    <t>Итого за 2016 г</t>
  </si>
  <si>
    <t>14736,58</t>
  </si>
  <si>
    <t>61012,67</t>
  </si>
  <si>
    <t>Итого за 2017 г</t>
  </si>
  <si>
    <t>Начислено СОИД</t>
  </si>
  <si>
    <t>4.6</t>
  </si>
  <si>
    <t>Злектроэнергия СОИД</t>
  </si>
  <si>
    <t>Горячая вода СОИД</t>
  </si>
  <si>
    <t>14088,89</t>
  </si>
  <si>
    <t>Итого за 2018 г</t>
  </si>
  <si>
    <t>4.3</t>
  </si>
  <si>
    <t>Тех.обсл. Газопровода</t>
  </si>
  <si>
    <t>Проверка вент.каналов</t>
  </si>
  <si>
    <t>14932,87</t>
  </si>
  <si>
    <t>Итого за 2019 г</t>
  </si>
  <si>
    <t>Всего за 2015-2019</t>
  </si>
  <si>
    <t>Вывоз ТБО (Утилизация)</t>
  </si>
  <si>
    <t>Дом по пер.Мира д.1  вступил в ООО "Наш  дом"  с мая  2015 года            тариф 10,35 руб с января 2019 года 9,6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</si>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</sst>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19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4" xfId="0" applyFont="1" applyFill="1" applyBorder="1" applyAlignment="1">
      <alignment/>
    </xf>
    <xf numFmtId="0" fontId="20" fillId="2" borderId="18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19" xfId="0" applyFont="1" applyBorder="1" applyAlignment="1">
      <alignment horizontal="left" vertical="center" wrapText="1"/>
    </xf>
    <xf numFmtId="0" fontId="24" fillId="0" borderId="20" xfId="0" applyFont="1" applyBorder="1" applyAlignment="1">
      <alignment wrapText="1"/>
    </xf>
    <xf numFmtId="49" fontId="21" fillId="0" borderId="20" xfId="0" applyNumberFormat="1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21" fillId="0" borderId="22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1" fillId="2" borderId="23" xfId="0" applyFont="1" applyFill="1" applyBorder="1" applyAlignment="1">
      <alignment wrapText="1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21" fillId="0" borderId="26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2" fontId="21" fillId="0" borderId="28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2" fontId="21" fillId="0" borderId="29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30" xfId="0" applyNumberFormat="1" applyFont="1" applyBorder="1" applyAlignment="1">
      <alignment/>
    </xf>
    <xf numFmtId="2" fontId="21" fillId="0" borderId="31" xfId="0" applyNumberFormat="1" applyFont="1" applyBorder="1" applyAlignment="1">
      <alignment/>
    </xf>
    <xf numFmtId="2" fontId="21" fillId="0" borderId="32" xfId="0" applyNumberFormat="1" applyFont="1" applyBorder="1" applyAlignment="1">
      <alignment/>
    </xf>
    <xf numFmtId="2" fontId="21" fillId="0" borderId="33" xfId="0" applyNumberFormat="1" applyFont="1" applyBorder="1" applyAlignment="1">
      <alignment/>
    </xf>
    <xf numFmtId="2" fontId="21" fillId="0" borderId="34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0" fillId="0" borderId="23" xfId="0" applyBorder="1" applyAlignment="1">
      <alignment/>
    </xf>
    <xf numFmtId="0" fontId="0" fillId="2" borderId="19" xfId="0" applyFill="1" applyBorder="1" applyAlignment="1">
      <alignment/>
    </xf>
    <xf numFmtId="0" fontId="19" fillId="0" borderId="27" xfId="0" applyFont="1" applyBorder="1" applyAlignment="1">
      <alignment horizontal="center" vertical="center" wrapText="1"/>
    </xf>
    <xf numFmtId="0" fontId="21" fillId="0" borderId="27" xfId="0" applyFont="1" applyBorder="1" applyAlignment="1">
      <alignment/>
    </xf>
    <xf numFmtId="0" fontId="21" fillId="0" borderId="35" xfId="0" applyFont="1" applyBorder="1" applyAlignment="1">
      <alignment/>
    </xf>
    <xf numFmtId="0" fontId="20" fillId="2" borderId="35" xfId="0" applyFont="1" applyFill="1" applyBorder="1" applyAlignment="1">
      <alignment/>
    </xf>
    <xf numFmtId="0" fontId="19" fillId="0" borderId="19" xfId="0" applyFont="1" applyBorder="1" applyAlignment="1">
      <alignment horizontal="center" vertical="center" wrapText="1"/>
    </xf>
    <xf numFmtId="0" fontId="21" fillId="0" borderId="36" xfId="0" applyFont="1" applyBorder="1" applyAlignment="1">
      <alignment wrapText="1"/>
    </xf>
    <xf numFmtId="0" fontId="19" fillId="0" borderId="37" xfId="0" applyFont="1" applyBorder="1" applyAlignment="1">
      <alignment horizontal="center" vertical="center" wrapText="1"/>
    </xf>
    <xf numFmtId="0" fontId="20" fillId="2" borderId="11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1" fillId="0" borderId="38" xfId="0" applyFont="1" applyBorder="1" applyAlignment="1">
      <alignment/>
    </xf>
    <xf numFmtId="2" fontId="20" fillId="0" borderId="36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2" fontId="21" fillId="0" borderId="38" xfId="0" applyNumberFormat="1" applyFont="1" applyBorder="1" applyAlignment="1">
      <alignment/>
    </xf>
    <xf numFmtId="2" fontId="21" fillId="0" borderId="39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0" borderId="40" xfId="0" applyNumberFormat="1" applyFont="1" applyBorder="1" applyAlignment="1">
      <alignment/>
    </xf>
    <xf numFmtId="2" fontId="21" fillId="0" borderId="41" xfId="0" applyNumberFormat="1" applyFont="1" applyBorder="1" applyAlignment="1">
      <alignment/>
    </xf>
    <xf numFmtId="0" fontId="21" fillId="0" borderId="35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0" fontId="21" fillId="2" borderId="18" xfId="0" applyFont="1" applyFill="1" applyBorder="1" applyAlignment="1">
      <alignment wrapText="1"/>
    </xf>
    <xf numFmtId="0" fontId="21" fillId="0" borderId="25" xfId="0" applyFont="1" applyBorder="1" applyAlignment="1">
      <alignment wrapText="1"/>
    </xf>
    <xf numFmtId="0" fontId="21" fillId="0" borderId="38" xfId="0" applyFont="1" applyBorder="1" applyAlignment="1">
      <alignment wrapText="1"/>
    </xf>
    <xf numFmtId="49" fontId="21" fillId="0" borderId="42" xfId="0" applyNumberFormat="1" applyFont="1" applyBorder="1" applyAlignment="1">
      <alignment horizontal="right" wrapText="1"/>
    </xf>
    <xf numFmtId="0" fontId="24" fillId="0" borderId="43" xfId="0" applyFont="1" applyBorder="1" applyAlignment="1">
      <alignment wrapText="1"/>
    </xf>
    <xf numFmtId="49" fontId="21" fillId="0" borderId="43" xfId="0" applyNumberFormat="1" applyFont="1" applyBorder="1" applyAlignment="1">
      <alignment horizontal="right" wrapText="1"/>
    </xf>
    <xf numFmtId="0" fontId="21" fillId="0" borderId="44" xfId="0" applyFont="1" applyBorder="1" applyAlignment="1">
      <alignment wrapText="1"/>
    </xf>
    <xf numFmtId="0" fontId="21" fillId="0" borderId="45" xfId="0" applyFont="1" applyBorder="1" applyAlignment="1">
      <alignment wrapText="1"/>
    </xf>
    <xf numFmtId="2" fontId="21" fillId="0" borderId="46" xfId="0" applyNumberFormat="1" applyFont="1" applyBorder="1" applyAlignment="1">
      <alignment/>
    </xf>
    <xf numFmtId="0" fontId="21" fillId="0" borderId="47" xfId="0" applyFont="1" applyBorder="1" applyAlignment="1">
      <alignment wrapText="1"/>
    </xf>
    <xf numFmtId="0" fontId="21" fillId="0" borderId="48" xfId="0" applyFont="1" applyBorder="1" applyAlignment="1">
      <alignment wrapText="1"/>
    </xf>
    <xf numFmtId="0" fontId="26" fillId="0" borderId="24" xfId="0" applyFont="1" applyBorder="1" applyAlignment="1">
      <alignment wrapText="1"/>
    </xf>
    <xf numFmtId="0" fontId="26" fillId="0" borderId="42" xfId="0" applyFont="1" applyBorder="1" applyAlignment="1">
      <alignment wrapText="1"/>
    </xf>
    <xf numFmtId="49" fontId="21" fillId="0" borderId="25" xfId="0" applyNumberFormat="1" applyFont="1" applyBorder="1" applyAlignment="1">
      <alignment horizontal="center"/>
    </xf>
    <xf numFmtId="49" fontId="21" fillId="0" borderId="49" xfId="0" applyNumberFormat="1" applyFont="1" applyBorder="1" applyAlignment="1">
      <alignment horizontal="center"/>
    </xf>
    <xf numFmtId="49" fontId="21" fillId="0" borderId="42" xfId="0" applyNumberFormat="1" applyFont="1" applyBorder="1" applyAlignment="1">
      <alignment horizontal="center"/>
    </xf>
    <xf numFmtId="0" fontId="27" fillId="0" borderId="24" xfId="0" applyFont="1" applyBorder="1" applyAlignment="1">
      <alignment/>
    </xf>
    <xf numFmtId="2" fontId="27" fillId="0" borderId="19" xfId="0" applyNumberFormat="1" applyFont="1" applyBorder="1" applyAlignment="1">
      <alignment/>
    </xf>
    <xf numFmtId="49" fontId="28" fillId="0" borderId="25" xfId="0" applyNumberFormat="1" applyFont="1" applyBorder="1" applyAlignment="1">
      <alignment horizontal="center"/>
    </xf>
    <xf numFmtId="0" fontId="19" fillId="0" borderId="19" xfId="0" applyFont="1" applyBorder="1" applyAlignment="1">
      <alignment wrapText="1"/>
    </xf>
    <xf numFmtId="0" fontId="28" fillId="0" borderId="50" xfId="0" applyFont="1" applyBorder="1" applyAlignment="1">
      <alignment/>
    </xf>
    <xf numFmtId="49" fontId="28" fillId="0" borderId="27" xfId="0" applyNumberFormat="1" applyFont="1" applyBorder="1" applyAlignment="1">
      <alignment horizontal="right"/>
    </xf>
    <xf numFmtId="0" fontId="28" fillId="0" borderId="27" xfId="0" applyFont="1" applyBorder="1" applyAlignment="1">
      <alignment/>
    </xf>
    <xf numFmtId="0" fontId="28" fillId="0" borderId="13" xfId="0" applyFont="1" applyBorder="1" applyAlignment="1">
      <alignment/>
    </xf>
    <xf numFmtId="2" fontId="29" fillId="0" borderId="19" xfId="0" applyNumberFormat="1" applyFont="1" applyBorder="1" applyAlignment="1">
      <alignment/>
    </xf>
    <xf numFmtId="0" fontId="22" fillId="0" borderId="0" xfId="0" applyFont="1" applyAlignment="1">
      <alignment/>
    </xf>
    <xf numFmtId="49" fontId="28" fillId="0" borderId="27" xfId="0" applyNumberFormat="1" applyFont="1" applyBorder="1" applyAlignment="1">
      <alignment horizontal="center"/>
    </xf>
    <xf numFmtId="0" fontId="28" fillId="0" borderId="19" xfId="0" applyFont="1" applyBorder="1" applyAlignment="1">
      <alignment wrapText="1"/>
    </xf>
    <xf numFmtId="0" fontId="28" fillId="0" borderId="46" xfId="0" applyFont="1" applyBorder="1" applyAlignment="1">
      <alignment wrapText="1"/>
    </xf>
    <xf numFmtId="2" fontId="28" fillId="0" borderId="27" xfId="0" applyNumberFormat="1" applyFont="1" applyBorder="1" applyAlignment="1">
      <alignment/>
    </xf>
    <xf numFmtId="2" fontId="28" fillId="0" borderId="50" xfId="0" applyNumberFormat="1" applyFont="1" applyBorder="1" applyAlignment="1">
      <alignment/>
    </xf>
    <xf numFmtId="0" fontId="22" fillId="0" borderId="51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PageLayoutView="0" workbookViewId="0" topLeftCell="A1">
      <selection activeCell="B2" sqref="B2:S2"/>
    </sheetView>
  </sheetViews>
  <sheetFormatPr defaultColWidth="9.00390625" defaultRowHeight="12.75"/>
  <cols>
    <col min="1" max="1" width="4.75390625" style="20" customWidth="1"/>
    <col min="2" max="2" width="19.75390625" style="0" customWidth="1"/>
    <col min="3" max="3" width="11.00390625" style="0" hidden="1" customWidth="1"/>
    <col min="4" max="4" width="10.625" style="0" hidden="1" customWidth="1"/>
    <col min="5" max="5" width="9.875" style="0" hidden="1" customWidth="1"/>
    <col min="6" max="6" width="9.75390625" style="0" hidden="1" customWidth="1"/>
    <col min="7" max="8" width="9.00390625" style="0" customWidth="1"/>
    <col min="9" max="10" width="7.875" style="0" customWidth="1"/>
    <col min="11" max="11" width="8.75390625" style="0" customWidth="1"/>
    <col min="12" max="12" width="9.00390625" style="0" customWidth="1"/>
    <col min="13" max="13" width="8.75390625" style="0" customWidth="1"/>
    <col min="14" max="14" width="8.125" style="0" customWidth="1"/>
    <col min="15" max="15" width="8.25390625" style="0" customWidth="1"/>
    <col min="16" max="16" width="8.75390625" style="0" customWidth="1"/>
    <col min="17" max="17" width="8.25390625" style="0" customWidth="1"/>
    <col min="18" max="18" width="8.875" style="0" customWidth="1"/>
    <col min="19" max="19" width="8.75390625" style="0" customWidth="1"/>
    <col min="20" max="20" width="9.125" style="0" customWidth="1"/>
  </cols>
  <sheetData>
    <row r="1" spans="2:25" ht="12.75" customHeight="1">
      <c r="B1" s="99" t="s">
        <v>70</v>
      </c>
      <c r="C1" s="99"/>
      <c r="D1" s="99"/>
      <c r="E1" s="99"/>
      <c r="F1" s="99"/>
      <c r="G1" s="99"/>
      <c r="H1" s="99"/>
      <c r="I1" s="99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2:25" ht="12.75" customHeight="1">
      <c r="B2" s="99" t="s">
        <v>69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100"/>
      <c r="T2" s="4"/>
      <c r="U2" s="4"/>
      <c r="V2" s="4"/>
      <c r="W2" s="4"/>
      <c r="X2" s="4"/>
      <c r="Y2" s="4"/>
    </row>
    <row r="3" spans="2:25" ht="12.75" customHeight="1">
      <c r="B3" s="31"/>
      <c r="C3" s="31"/>
      <c r="D3" s="31"/>
      <c r="E3" s="31"/>
      <c r="F3" s="31"/>
      <c r="G3" s="31"/>
      <c r="H3" s="31"/>
      <c r="I3" s="3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2:25" ht="12.75" customHeight="1">
      <c r="B4" s="98" t="s">
        <v>0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3"/>
      <c r="V4" s="3"/>
      <c r="W4" s="3"/>
      <c r="X4" s="3"/>
      <c r="Y4" s="3"/>
    </row>
    <row r="5" spans="2:25" ht="17.25" customHeight="1">
      <c r="B5" s="97" t="s">
        <v>6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2"/>
      <c r="V5" s="2"/>
      <c r="W5" s="2"/>
      <c r="X5" s="2"/>
      <c r="Y5" s="2"/>
    </row>
    <row r="6" spans="2:25" ht="15.75" customHeight="1" thickBot="1">
      <c r="B6" s="97" t="s">
        <v>43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2"/>
      <c r="V6" s="2"/>
      <c r="W6" s="2"/>
      <c r="X6" s="2"/>
      <c r="Y6" s="2"/>
    </row>
    <row r="7" spans="2:25" ht="16.5" customHeight="1" hidden="1" thickBo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  <c r="W7" s="2"/>
      <c r="X7" s="2"/>
      <c r="Y7" s="2"/>
    </row>
    <row r="8" spans="1:25" ht="35.25" customHeight="1" thickBot="1">
      <c r="A8" s="28" t="s">
        <v>21</v>
      </c>
      <c r="B8" s="21" t="s">
        <v>4</v>
      </c>
      <c r="C8" s="46" t="s">
        <v>44</v>
      </c>
      <c r="D8" s="46" t="s">
        <v>52</v>
      </c>
      <c r="E8" s="46" t="s">
        <v>55</v>
      </c>
      <c r="F8" s="46" t="s">
        <v>61</v>
      </c>
      <c r="G8" s="52" t="s">
        <v>7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12</v>
      </c>
      <c r="M8" s="5" t="s">
        <v>13</v>
      </c>
      <c r="N8" s="5" t="s">
        <v>14</v>
      </c>
      <c r="O8" s="5" t="s">
        <v>15</v>
      </c>
      <c r="P8" s="5" t="s">
        <v>16</v>
      </c>
      <c r="Q8" s="5" t="s">
        <v>18</v>
      </c>
      <c r="R8" s="12" t="s">
        <v>17</v>
      </c>
      <c r="S8" s="46" t="s">
        <v>66</v>
      </c>
      <c r="T8" s="50" t="s">
        <v>67</v>
      </c>
      <c r="U8" s="1"/>
      <c r="V8" s="1"/>
      <c r="W8" s="1"/>
      <c r="X8" s="1"/>
      <c r="Y8" s="1"/>
    </row>
    <row r="9" spans="1:20" ht="13.5" thickBot="1">
      <c r="A9" s="78" t="s">
        <v>22</v>
      </c>
      <c r="B9" s="22" t="s">
        <v>1</v>
      </c>
      <c r="C9" s="69">
        <v>45316.8</v>
      </c>
      <c r="D9" s="76">
        <v>67975.2</v>
      </c>
      <c r="E9" s="76">
        <v>67975.2</v>
      </c>
      <c r="F9" s="76">
        <v>67975.2</v>
      </c>
      <c r="G9" s="7">
        <v>5254.08</v>
      </c>
      <c r="H9" s="7">
        <v>5254.08</v>
      </c>
      <c r="I9" s="7">
        <v>5254.08</v>
      </c>
      <c r="J9" s="7">
        <v>5254.08</v>
      </c>
      <c r="K9" s="7">
        <v>5254.08</v>
      </c>
      <c r="L9" s="7">
        <v>5254.08</v>
      </c>
      <c r="M9" s="7">
        <v>5254.08</v>
      </c>
      <c r="N9" s="7">
        <v>5254.08</v>
      </c>
      <c r="O9" s="7">
        <v>5254.08</v>
      </c>
      <c r="P9" s="7">
        <v>5254.08</v>
      </c>
      <c r="Q9" s="7">
        <v>5254.08</v>
      </c>
      <c r="R9" s="7">
        <v>5254.08</v>
      </c>
      <c r="S9" s="54">
        <f>SUM(G9:R9)</f>
        <v>63048.960000000014</v>
      </c>
      <c r="T9" s="81">
        <f>SUM(C9:R9)</f>
        <v>312291.36000000016</v>
      </c>
    </row>
    <row r="10" spans="1:20" ht="13.5" thickBot="1">
      <c r="A10" s="78"/>
      <c r="B10" s="22" t="s">
        <v>56</v>
      </c>
      <c r="C10" s="69"/>
      <c r="D10" s="77">
        <v>0</v>
      </c>
      <c r="E10" s="77">
        <v>3516.37</v>
      </c>
      <c r="F10" s="77">
        <v>1976.21</v>
      </c>
      <c r="G10" s="7">
        <f aca="true" t="shared" si="0" ref="G10:L10">16.62+18.88+77.26</f>
        <v>112.76</v>
      </c>
      <c r="H10" s="7">
        <f t="shared" si="0"/>
        <v>112.76</v>
      </c>
      <c r="I10" s="7">
        <f t="shared" si="0"/>
        <v>112.76</v>
      </c>
      <c r="J10" s="7">
        <f t="shared" si="0"/>
        <v>112.76</v>
      </c>
      <c r="K10" s="7">
        <f t="shared" si="0"/>
        <v>112.76</v>
      </c>
      <c r="L10" s="7">
        <f t="shared" si="0"/>
        <v>112.76</v>
      </c>
      <c r="M10" s="6">
        <f>16.94+19.21+78.66</f>
        <v>114.81</v>
      </c>
      <c r="N10" s="6">
        <f>16.94+19.21+78.66</f>
        <v>114.81</v>
      </c>
      <c r="O10" s="6">
        <f>16.94+19.21+78.66</f>
        <v>114.81</v>
      </c>
      <c r="P10" s="6">
        <f>16.94+19.21+78.66</f>
        <v>114.81</v>
      </c>
      <c r="Q10" s="6">
        <f>16.94+19.21+78.66</f>
        <v>114.81</v>
      </c>
      <c r="R10" s="6">
        <f>16.94+19.21+78.66</f>
        <v>114.81</v>
      </c>
      <c r="S10" s="54">
        <f>SUM(G10:R10)</f>
        <v>1365.4199999999998</v>
      </c>
      <c r="T10" s="81">
        <f>SUM(C10:R10)</f>
        <v>6858.000000000004</v>
      </c>
    </row>
    <row r="11" spans="1:20" s="90" customFormat="1" ht="13.5" thickBot="1">
      <c r="A11" s="83" t="s">
        <v>23</v>
      </c>
      <c r="B11" s="84" t="s">
        <v>2</v>
      </c>
      <c r="C11" s="85">
        <f>SUM(C12:C24)</f>
        <v>28161.38</v>
      </c>
      <c r="D11" s="86" t="s">
        <v>54</v>
      </c>
      <c r="E11" s="87">
        <f>62439.18+4212.47</f>
        <v>66651.65</v>
      </c>
      <c r="F11" s="87">
        <v>86367.83</v>
      </c>
      <c r="G11" s="88">
        <f>SUM(G12:G24)</f>
        <v>4101.05</v>
      </c>
      <c r="H11" s="88">
        <f aca="true" t="shared" si="1" ref="H11:R11">SUM(H12:H24)</f>
        <v>3889.21</v>
      </c>
      <c r="I11" s="88">
        <f t="shared" si="1"/>
        <v>6312.13</v>
      </c>
      <c r="J11" s="88">
        <f t="shared" si="1"/>
        <v>3117.16</v>
      </c>
      <c r="K11" s="88">
        <f t="shared" si="1"/>
        <v>4727.57</v>
      </c>
      <c r="L11" s="88">
        <f t="shared" si="1"/>
        <v>4522.52</v>
      </c>
      <c r="M11" s="88">
        <f t="shared" si="1"/>
        <v>4022.3</v>
      </c>
      <c r="N11" s="88">
        <f t="shared" si="1"/>
        <v>14382.719999999998</v>
      </c>
      <c r="O11" s="88">
        <f t="shared" si="1"/>
        <v>11590.579999999998</v>
      </c>
      <c r="P11" s="88">
        <f t="shared" si="1"/>
        <v>3337.94</v>
      </c>
      <c r="Q11" s="88">
        <f t="shared" si="1"/>
        <v>8248.42</v>
      </c>
      <c r="R11" s="85">
        <f t="shared" si="1"/>
        <v>5446.880000000001</v>
      </c>
      <c r="S11" s="87">
        <f>SUM(G11:R11)</f>
        <v>73698.48</v>
      </c>
      <c r="T11" s="89">
        <f>SUM(G11:R11)+2265.84</f>
        <v>75964.31999999999</v>
      </c>
    </row>
    <row r="12" spans="1:20" ht="13.5" thickBot="1">
      <c r="A12" s="78" t="s">
        <v>24</v>
      </c>
      <c r="B12" s="23" t="s">
        <v>68</v>
      </c>
      <c r="C12" s="70" t="s">
        <v>51</v>
      </c>
      <c r="D12" s="68" t="s">
        <v>53</v>
      </c>
      <c r="E12" s="68" t="s">
        <v>60</v>
      </c>
      <c r="F12" s="68" t="s">
        <v>65</v>
      </c>
      <c r="G12" s="34"/>
      <c r="H12" s="34"/>
      <c r="I12" s="35"/>
      <c r="J12" s="35">
        <v>27.31</v>
      </c>
      <c r="K12" s="35">
        <v>2087</v>
      </c>
      <c r="L12" s="35">
        <v>8.63</v>
      </c>
      <c r="M12" s="35">
        <v>22.75</v>
      </c>
      <c r="N12" s="35">
        <v>16.81</v>
      </c>
      <c r="O12" s="35">
        <v>4.21</v>
      </c>
      <c r="P12" s="35">
        <v>15.06</v>
      </c>
      <c r="Q12" s="35">
        <v>12.54</v>
      </c>
      <c r="R12" s="36">
        <v>8.49</v>
      </c>
      <c r="S12" s="55">
        <f aca="true" t="shared" si="2" ref="S12:S26">SUM(G12:R12)</f>
        <v>2202.7999999999997</v>
      </c>
      <c r="T12" s="81">
        <f aca="true" t="shared" si="3" ref="T12:T24">SUM(C12:R12)</f>
        <v>2202.7999999999997</v>
      </c>
    </row>
    <row r="13" spans="1:20" ht="12.75" customHeight="1" thickBot="1">
      <c r="A13" s="78" t="s">
        <v>25</v>
      </c>
      <c r="B13" s="24" t="s">
        <v>45</v>
      </c>
      <c r="C13" s="71">
        <v>619.51</v>
      </c>
      <c r="D13" s="66">
        <v>40.23</v>
      </c>
      <c r="E13" s="66">
        <v>0</v>
      </c>
      <c r="F13" s="66">
        <v>4260</v>
      </c>
      <c r="G13" s="37">
        <v>530</v>
      </c>
      <c r="H13" s="37"/>
      <c r="I13" s="38"/>
      <c r="J13" s="38"/>
      <c r="K13" s="38"/>
      <c r="L13" s="38"/>
      <c r="M13" s="38"/>
      <c r="N13" s="38"/>
      <c r="O13" s="38"/>
      <c r="P13" s="38"/>
      <c r="Q13" s="38"/>
      <c r="R13" s="39"/>
      <c r="S13" s="47">
        <f t="shared" si="2"/>
        <v>530</v>
      </c>
      <c r="T13" s="81">
        <f t="shared" si="3"/>
        <v>5449.74</v>
      </c>
    </row>
    <row r="14" spans="1:20" ht="12.75" customHeight="1" thickBot="1">
      <c r="A14" s="78" t="s">
        <v>62</v>
      </c>
      <c r="B14" s="24" t="s">
        <v>63</v>
      </c>
      <c r="C14" s="71"/>
      <c r="D14" s="66"/>
      <c r="E14" s="66"/>
      <c r="F14" s="66">
        <v>6528.4</v>
      </c>
      <c r="G14" s="37"/>
      <c r="H14" s="37"/>
      <c r="I14" s="38">
        <v>3003.7</v>
      </c>
      <c r="J14" s="38"/>
      <c r="K14" s="38"/>
      <c r="L14" s="38"/>
      <c r="M14" s="38"/>
      <c r="N14" s="38"/>
      <c r="O14" s="38"/>
      <c r="P14" s="38"/>
      <c r="Q14" s="38"/>
      <c r="R14" s="39"/>
      <c r="S14" s="47">
        <f>SUM(G14:R14)</f>
        <v>3003.7</v>
      </c>
      <c r="T14" s="81">
        <f>SUM(C14:R14)</f>
        <v>9532.099999999999</v>
      </c>
    </row>
    <row r="15" spans="1:20" ht="12.75" customHeight="1" thickBot="1">
      <c r="A15" s="78"/>
      <c r="B15" s="24" t="s">
        <v>64</v>
      </c>
      <c r="C15" s="71"/>
      <c r="D15" s="66"/>
      <c r="E15" s="66"/>
      <c r="F15" s="66">
        <v>400</v>
      </c>
      <c r="G15" s="37"/>
      <c r="H15" s="37"/>
      <c r="I15" s="38"/>
      <c r="J15" s="38"/>
      <c r="K15" s="38"/>
      <c r="L15" s="38"/>
      <c r="M15" s="38"/>
      <c r="N15" s="38"/>
      <c r="O15" s="38"/>
      <c r="P15" s="38"/>
      <c r="Q15" s="38"/>
      <c r="R15" s="39"/>
      <c r="S15" s="47">
        <f>SUM(G15:R15)</f>
        <v>0</v>
      </c>
      <c r="T15" s="81">
        <f>SUM(C15:R15)</f>
        <v>400</v>
      </c>
    </row>
    <row r="16" spans="1:20" ht="13.5" customHeight="1" thickBot="1">
      <c r="A16" s="78" t="s">
        <v>26</v>
      </c>
      <c r="B16" s="24" t="s">
        <v>46</v>
      </c>
      <c r="C16" s="71">
        <v>0</v>
      </c>
      <c r="D16" s="66">
        <v>6034.67</v>
      </c>
      <c r="E16" s="66">
        <f>3190.5+4212.47</f>
        <v>7402.97</v>
      </c>
      <c r="F16" s="66">
        <v>18953.21</v>
      </c>
      <c r="G16" s="37"/>
      <c r="H16" s="37"/>
      <c r="I16" s="38"/>
      <c r="J16" s="38"/>
      <c r="K16" s="38">
        <v>784.92</v>
      </c>
      <c r="L16" s="38">
        <v>640.28</v>
      </c>
      <c r="M16" s="38">
        <v>92.5</v>
      </c>
      <c r="N16" s="38">
        <f>385+10719.36</f>
        <v>11104.36</v>
      </c>
      <c r="O16" s="38">
        <v>7860.9</v>
      </c>
      <c r="P16" s="38"/>
      <c r="Q16" s="38">
        <v>4285</v>
      </c>
      <c r="R16" s="39">
        <v>1364</v>
      </c>
      <c r="S16" s="47">
        <f t="shared" si="2"/>
        <v>26131.96</v>
      </c>
      <c r="T16" s="81">
        <f t="shared" si="3"/>
        <v>58522.81</v>
      </c>
    </row>
    <row r="17" spans="1:20" ht="21.75" customHeight="1" thickBot="1">
      <c r="A17" s="78" t="s">
        <v>27</v>
      </c>
      <c r="B17" s="24" t="s">
        <v>40</v>
      </c>
      <c r="C17" s="71">
        <v>0</v>
      </c>
      <c r="D17" s="66">
        <v>510</v>
      </c>
      <c r="E17" s="66">
        <v>268.15</v>
      </c>
      <c r="F17" s="66">
        <v>0</v>
      </c>
      <c r="G17" s="37">
        <v>43.03</v>
      </c>
      <c r="H17" s="37">
        <v>22</v>
      </c>
      <c r="I17" s="38"/>
      <c r="J17" s="38"/>
      <c r="K17" s="38"/>
      <c r="L17" s="38"/>
      <c r="M17" s="38"/>
      <c r="N17" s="38"/>
      <c r="O17" s="38"/>
      <c r="P17" s="38"/>
      <c r="Q17" s="38"/>
      <c r="R17" s="39"/>
      <c r="S17" s="47">
        <f t="shared" si="2"/>
        <v>65.03</v>
      </c>
      <c r="T17" s="81">
        <f t="shared" si="3"/>
        <v>843.18</v>
      </c>
    </row>
    <row r="18" spans="1:20" ht="15.75" customHeight="1" thickBot="1">
      <c r="A18" s="78" t="s">
        <v>57</v>
      </c>
      <c r="B18" s="24" t="s">
        <v>58</v>
      </c>
      <c r="C18" s="71"/>
      <c r="D18" s="66"/>
      <c r="E18" s="66">
        <v>2156.15</v>
      </c>
      <c r="F18" s="66">
        <v>656.33</v>
      </c>
      <c r="G18" s="37"/>
      <c r="H18" s="37"/>
      <c r="I18" s="37"/>
      <c r="J18" s="37"/>
      <c r="K18" s="37"/>
      <c r="L18" s="38"/>
      <c r="M18" s="38"/>
      <c r="N18" s="38"/>
      <c r="O18" s="38"/>
      <c r="P18" s="38"/>
      <c r="Q18" s="38"/>
      <c r="R18" s="39"/>
      <c r="S18" s="47">
        <f>SUM(G18:R18)</f>
        <v>0</v>
      </c>
      <c r="T18" s="81">
        <f>SUM(C18:R18)</f>
        <v>2812.48</v>
      </c>
    </row>
    <row r="19" spans="1:20" ht="15.75" customHeight="1" thickBot="1">
      <c r="A19" s="78" t="s">
        <v>28</v>
      </c>
      <c r="B19" s="24" t="s">
        <v>59</v>
      </c>
      <c r="C19" s="71"/>
      <c r="D19" s="66"/>
      <c r="E19" s="66">
        <v>994.61</v>
      </c>
      <c r="F19" s="66">
        <v>854.79</v>
      </c>
      <c r="G19" s="37">
        <v>77.26</v>
      </c>
      <c r="H19" s="37">
        <v>77.26</v>
      </c>
      <c r="I19" s="37">
        <v>77.26</v>
      </c>
      <c r="J19" s="37">
        <v>77.26</v>
      </c>
      <c r="K19" s="37">
        <v>77.26</v>
      </c>
      <c r="L19" s="37">
        <v>77.26</v>
      </c>
      <c r="M19" s="38">
        <v>35.93</v>
      </c>
      <c r="N19" s="38">
        <v>78.49</v>
      </c>
      <c r="O19" s="38">
        <v>78.67</v>
      </c>
      <c r="P19" s="38">
        <v>78.63</v>
      </c>
      <c r="Q19" s="38">
        <v>78.67</v>
      </c>
      <c r="R19" s="39">
        <v>78.67</v>
      </c>
      <c r="S19" s="47">
        <f>SUM(G19:R19)</f>
        <v>892.6199999999999</v>
      </c>
      <c r="T19" s="81">
        <f>SUM(C19:R19)</f>
        <v>2742.020000000001</v>
      </c>
    </row>
    <row r="20" spans="1:20" ht="36" customHeight="1" thickBot="1">
      <c r="A20" s="78" t="s">
        <v>29</v>
      </c>
      <c r="B20" s="24" t="s">
        <v>47</v>
      </c>
      <c r="C20" s="71">
        <v>1719.06</v>
      </c>
      <c r="D20" s="66">
        <v>2801.49</v>
      </c>
      <c r="E20" s="66">
        <v>2825.87</v>
      </c>
      <c r="F20" s="66">
        <v>2969.63</v>
      </c>
      <c r="G20" s="37">
        <v>239.2</v>
      </c>
      <c r="H20" s="37">
        <v>250.74</v>
      </c>
      <c r="I20" s="38">
        <v>199.09</v>
      </c>
      <c r="J20" s="38">
        <v>238.44</v>
      </c>
      <c r="K20" s="38">
        <v>198.36</v>
      </c>
      <c r="L20" s="38">
        <v>152.09</v>
      </c>
      <c r="M20" s="38">
        <v>158.96</v>
      </c>
      <c r="N20" s="38">
        <v>134.73</v>
      </c>
      <c r="O20" s="38">
        <v>151.49</v>
      </c>
      <c r="P20" s="38">
        <v>313.71</v>
      </c>
      <c r="Q20" s="38">
        <v>198.37</v>
      </c>
      <c r="R20" s="39">
        <v>168.77</v>
      </c>
      <c r="S20" s="55">
        <f t="shared" si="2"/>
        <v>2403.95</v>
      </c>
      <c r="T20" s="81">
        <f t="shared" si="3"/>
        <v>12720</v>
      </c>
    </row>
    <row r="21" spans="1:20" ht="30.75" customHeight="1" thickBot="1">
      <c r="A21" s="78" t="s">
        <v>30</v>
      </c>
      <c r="B21" s="24" t="s">
        <v>48</v>
      </c>
      <c r="C21" s="71">
        <v>306.57</v>
      </c>
      <c r="D21" s="66">
        <v>395.71</v>
      </c>
      <c r="E21" s="66">
        <v>309.11</v>
      </c>
      <c r="F21" s="66">
        <v>299.59</v>
      </c>
      <c r="G21" s="37">
        <v>18.93</v>
      </c>
      <c r="H21" s="37">
        <v>16.32</v>
      </c>
      <c r="I21" s="38">
        <v>14.22</v>
      </c>
      <c r="J21" s="38">
        <v>16.55</v>
      </c>
      <c r="K21" s="38">
        <v>1.75</v>
      </c>
      <c r="L21" s="38">
        <v>24.8</v>
      </c>
      <c r="M21" s="38">
        <v>27.81</v>
      </c>
      <c r="N21" s="38">
        <v>32.39</v>
      </c>
      <c r="O21" s="38">
        <v>48.15</v>
      </c>
      <c r="P21" s="38">
        <v>11.91</v>
      </c>
      <c r="Q21" s="38">
        <v>43.94</v>
      </c>
      <c r="R21" s="39">
        <v>15.46</v>
      </c>
      <c r="S21" s="47">
        <f t="shared" si="2"/>
        <v>272.22999999999996</v>
      </c>
      <c r="T21" s="81">
        <f t="shared" si="3"/>
        <v>1583.2100000000003</v>
      </c>
    </row>
    <row r="22" spans="1:20" ht="33" customHeight="1" thickBot="1">
      <c r="A22" s="78" t="s">
        <v>31</v>
      </c>
      <c r="B22" s="24" t="s">
        <v>49</v>
      </c>
      <c r="C22" s="71">
        <v>2211.44</v>
      </c>
      <c r="D22" s="66">
        <v>2894.37</v>
      </c>
      <c r="E22" s="66">
        <v>3048.66</v>
      </c>
      <c r="F22" s="66">
        <v>3339.53</v>
      </c>
      <c r="G22" s="37">
        <f>11.81+114.46+140.99</f>
        <v>267.26</v>
      </c>
      <c r="H22" s="37">
        <f>11.13+159.48+136.67</f>
        <v>307.28</v>
      </c>
      <c r="I22" s="38">
        <f>142.54+9.68+106.33</f>
        <v>258.55</v>
      </c>
      <c r="J22" s="38">
        <f>10.36+117.56+377.72</f>
        <v>505.64000000000004</v>
      </c>
      <c r="K22" s="38">
        <f>10.11+129.8+102.37</f>
        <v>242.28000000000003</v>
      </c>
      <c r="L22" s="38">
        <f>11.75+90.34+181.26</f>
        <v>283.35</v>
      </c>
      <c r="M22" s="38">
        <f>11.3+153.01+82.55</f>
        <v>246.86</v>
      </c>
      <c r="N22" s="38">
        <f>10.35+94.06+131.6</f>
        <v>236.01</v>
      </c>
      <c r="O22" s="38">
        <f>7.53+83.65+119.83</f>
        <v>211.01</v>
      </c>
      <c r="P22" s="38">
        <f>7.63+134+340.49</f>
        <v>482.12</v>
      </c>
      <c r="Q22" s="38">
        <f>8.44+84.26+87.69</f>
        <v>180.39</v>
      </c>
      <c r="R22" s="39">
        <f>8.42+254.83+147.2</f>
        <v>410.45</v>
      </c>
      <c r="S22" s="55">
        <f t="shared" si="2"/>
        <v>3631.2000000000003</v>
      </c>
      <c r="T22" s="81">
        <f t="shared" si="3"/>
        <v>15125.200000000003</v>
      </c>
    </row>
    <row r="23" spans="1:20" ht="15.75" customHeight="1" thickBot="1">
      <c r="A23" s="78" t="s">
        <v>32</v>
      </c>
      <c r="B23" s="24" t="s">
        <v>5</v>
      </c>
      <c r="C23" s="71">
        <v>21931.46</v>
      </c>
      <c r="D23" s="66">
        <v>31709.33</v>
      </c>
      <c r="E23" s="66">
        <v>32963.71</v>
      </c>
      <c r="F23" s="66">
        <v>30570.37</v>
      </c>
      <c r="G23" s="37">
        <f>4101.05-1367.15</f>
        <v>2733.9</v>
      </c>
      <c r="H23" s="37">
        <f>3889.21-863.1</f>
        <v>3026.11</v>
      </c>
      <c r="I23" s="38">
        <f>6312.13-3767.22</f>
        <v>2544.9100000000003</v>
      </c>
      <c r="J23" s="38">
        <f>3117.16-1058.11</f>
        <v>2059.05</v>
      </c>
      <c r="K23" s="38">
        <f>4727.57-3583.76</f>
        <v>1143.8099999999995</v>
      </c>
      <c r="L23" s="38">
        <f>4522.52-1385.54</f>
        <v>3136.9800000000005</v>
      </c>
      <c r="M23" s="38">
        <f>4022.3-757.58</f>
        <v>3264.7200000000003</v>
      </c>
      <c r="N23" s="38">
        <f>14382.72-1023.67-10719.36</f>
        <v>2639.6899999999987</v>
      </c>
      <c r="O23" s="38">
        <f>11590.58-8542.65</f>
        <v>3047.9300000000003</v>
      </c>
      <c r="P23" s="38">
        <f>3337.94-1092.54</f>
        <v>2245.4</v>
      </c>
      <c r="Q23" s="38">
        <f>8248.42-4992.68</f>
        <v>3255.74</v>
      </c>
      <c r="R23" s="59">
        <f>5446.88-2219.94</f>
        <v>3226.94</v>
      </c>
      <c r="S23" s="47">
        <f t="shared" si="2"/>
        <v>32325.180000000004</v>
      </c>
      <c r="T23" s="81">
        <f t="shared" si="3"/>
        <v>149500.05</v>
      </c>
    </row>
    <row r="24" spans="1:20" ht="13.5" customHeight="1" thickBot="1">
      <c r="A24" s="78" t="s">
        <v>41</v>
      </c>
      <c r="B24" s="25" t="s">
        <v>3</v>
      </c>
      <c r="C24" s="72">
        <v>1373.34</v>
      </c>
      <c r="D24" s="32">
        <v>2349.29</v>
      </c>
      <c r="E24" s="32">
        <v>2593.53</v>
      </c>
      <c r="F24" s="32">
        <v>2603.11</v>
      </c>
      <c r="G24" s="40">
        <f>3.33+188.14</f>
        <v>191.47</v>
      </c>
      <c r="H24" s="40">
        <f>3.95+185.55</f>
        <v>189.5</v>
      </c>
      <c r="I24" s="41">
        <f>4.46+209.94</f>
        <v>214.4</v>
      </c>
      <c r="J24" s="41">
        <f>4.1+188.81</f>
        <v>192.91</v>
      </c>
      <c r="K24" s="41">
        <f>4.16+188.03</f>
        <v>192.19</v>
      </c>
      <c r="L24" s="41">
        <f>4.19+194.94</f>
        <v>199.13</v>
      </c>
      <c r="M24" s="41">
        <f>3.63+169.14</f>
        <v>172.76999999999998</v>
      </c>
      <c r="N24" s="41">
        <v>140.24</v>
      </c>
      <c r="O24" s="41">
        <f>4.02+184.2</f>
        <v>188.22</v>
      </c>
      <c r="P24" s="41">
        <f>4.14+186.97</f>
        <v>191.10999999999999</v>
      </c>
      <c r="Q24" s="42">
        <f>4.14+189.63</f>
        <v>193.76999999999998</v>
      </c>
      <c r="R24" s="59">
        <f>3.72+170.38</f>
        <v>174.1</v>
      </c>
      <c r="S24" s="47">
        <f t="shared" si="2"/>
        <v>2239.81</v>
      </c>
      <c r="T24" s="81">
        <f t="shared" si="3"/>
        <v>11159.08</v>
      </c>
    </row>
    <row r="25" spans="1:20" ht="16.5" customHeight="1" thickBot="1">
      <c r="A25" s="78"/>
      <c r="B25" s="33" t="s">
        <v>42</v>
      </c>
      <c r="C25" s="73">
        <f>C9*5%</f>
        <v>2265.84</v>
      </c>
      <c r="D25" s="57">
        <f>D9*5%</f>
        <v>3398.76</v>
      </c>
      <c r="E25" s="58">
        <f>E9*5%</f>
        <v>3398.76</v>
      </c>
      <c r="F25" s="58">
        <f>F9*5%</f>
        <v>3398.76</v>
      </c>
      <c r="G25" s="60">
        <f>(G9+G10)*5%</f>
        <v>268.34200000000004</v>
      </c>
      <c r="H25" s="57">
        <f aca="true" t="shared" si="4" ref="H25:R25">(H9+H10)*5%</f>
        <v>268.34200000000004</v>
      </c>
      <c r="I25" s="60">
        <f t="shared" si="4"/>
        <v>268.34200000000004</v>
      </c>
      <c r="J25" s="57">
        <f t="shared" si="4"/>
        <v>268.34200000000004</v>
      </c>
      <c r="K25" s="60">
        <f t="shared" si="4"/>
        <v>268.34200000000004</v>
      </c>
      <c r="L25" s="57">
        <f t="shared" si="4"/>
        <v>268.34200000000004</v>
      </c>
      <c r="M25" s="60">
        <f t="shared" si="4"/>
        <v>268.4445</v>
      </c>
      <c r="N25" s="57">
        <f t="shared" si="4"/>
        <v>268.4445</v>
      </c>
      <c r="O25" s="60">
        <f t="shared" si="4"/>
        <v>268.4445</v>
      </c>
      <c r="P25" s="57">
        <f t="shared" si="4"/>
        <v>268.4445</v>
      </c>
      <c r="Q25" s="60">
        <f t="shared" si="4"/>
        <v>268.4445</v>
      </c>
      <c r="R25" s="57">
        <f t="shared" si="4"/>
        <v>268.4445</v>
      </c>
      <c r="S25" s="57">
        <f t="shared" si="2"/>
        <v>3220.7190000000005</v>
      </c>
      <c r="T25" s="82"/>
    </row>
    <row r="26" spans="1:20" ht="15" customHeight="1" thickBot="1">
      <c r="A26" s="79" t="s">
        <v>33</v>
      </c>
      <c r="B26" s="51" t="s">
        <v>39</v>
      </c>
      <c r="C26" s="74"/>
      <c r="D26" s="67"/>
      <c r="E26" s="62">
        <f aca="true" t="shared" si="5" ref="E26:R26">SUM(E9+E10-E11)-E25</f>
        <v>1441.159999999998</v>
      </c>
      <c r="F26" s="62">
        <f>SUM(F9+F10-F11)-F25</f>
        <v>-19815.18</v>
      </c>
      <c r="G26" s="61">
        <f t="shared" si="5"/>
        <v>997.4479999999999</v>
      </c>
      <c r="H26" s="57">
        <f t="shared" si="5"/>
        <v>1209.288</v>
      </c>
      <c r="I26" s="61">
        <f t="shared" si="5"/>
        <v>-1213.632</v>
      </c>
      <c r="J26" s="57">
        <f t="shared" si="5"/>
        <v>1981.3380000000002</v>
      </c>
      <c r="K26" s="61">
        <f t="shared" si="5"/>
        <v>370.9280000000004</v>
      </c>
      <c r="L26" s="57">
        <f t="shared" si="5"/>
        <v>575.9779999999996</v>
      </c>
      <c r="M26" s="61">
        <f t="shared" si="5"/>
        <v>1078.1455</v>
      </c>
      <c r="N26" s="57">
        <f t="shared" si="5"/>
        <v>-9282.274499999998</v>
      </c>
      <c r="O26" s="61">
        <f t="shared" si="5"/>
        <v>-6490.134499999997</v>
      </c>
      <c r="P26" s="57">
        <f t="shared" si="5"/>
        <v>1762.5055000000002</v>
      </c>
      <c r="Q26" s="61">
        <f t="shared" si="5"/>
        <v>-3147.9745</v>
      </c>
      <c r="R26" s="57">
        <f t="shared" si="5"/>
        <v>-346.4345000000007</v>
      </c>
      <c r="S26" s="58">
        <f t="shared" si="2"/>
        <v>-12504.818999999998</v>
      </c>
      <c r="T26" s="56"/>
    </row>
    <row r="27" spans="1:20" ht="24" customHeight="1" thickBot="1">
      <c r="A27" s="91" t="s">
        <v>34</v>
      </c>
      <c r="B27" s="92" t="s">
        <v>19</v>
      </c>
      <c r="C27" s="93">
        <v>12171.91</v>
      </c>
      <c r="D27" s="94">
        <f>SUM(D9-D11)-D25</f>
        <v>3563.7699999999986</v>
      </c>
      <c r="E27" s="94">
        <f>SUM(E9+E10-E11)-E25</f>
        <v>1441.159999999998</v>
      </c>
      <c r="F27" s="94">
        <f>SUM(F9+F10-F11)-F25</f>
        <v>-19815.18</v>
      </c>
      <c r="G27" s="95">
        <f>SUM(G9+G10-G11)-G25</f>
        <v>997.4479999999999</v>
      </c>
      <c r="H27" s="94">
        <f>SUM(H26+G27)</f>
        <v>2206.736</v>
      </c>
      <c r="I27" s="95">
        <f aca="true" t="shared" si="6" ref="I27:R27">SUM(I26+H27)</f>
        <v>993.1039999999998</v>
      </c>
      <c r="J27" s="94">
        <f t="shared" si="6"/>
        <v>2974.442</v>
      </c>
      <c r="K27" s="95">
        <f t="shared" si="6"/>
        <v>3345.3700000000003</v>
      </c>
      <c r="L27" s="94">
        <f t="shared" si="6"/>
        <v>3921.348</v>
      </c>
      <c r="M27" s="95">
        <f t="shared" si="6"/>
        <v>4999.4935000000005</v>
      </c>
      <c r="N27" s="94">
        <f t="shared" si="6"/>
        <v>-4282.780999999997</v>
      </c>
      <c r="O27" s="95">
        <f t="shared" si="6"/>
        <v>-10772.915499999996</v>
      </c>
      <c r="P27" s="94">
        <f t="shared" si="6"/>
        <v>-9010.409999999996</v>
      </c>
      <c r="Q27" s="95">
        <f t="shared" si="6"/>
        <v>-12158.384499999996</v>
      </c>
      <c r="R27" s="94">
        <f t="shared" si="6"/>
        <v>-12504.818999999998</v>
      </c>
      <c r="S27" s="87"/>
      <c r="T27" s="96"/>
    </row>
    <row r="28" spans="1:20" ht="24.75" customHeight="1" thickBot="1">
      <c r="A28" s="80" t="s">
        <v>35</v>
      </c>
      <c r="B28" s="63" t="s">
        <v>20</v>
      </c>
      <c r="C28" s="75">
        <v>12171.91</v>
      </c>
      <c r="D28" s="57">
        <f>SUM(D27+C28)</f>
        <v>15735.679999999998</v>
      </c>
      <c r="E28" s="57">
        <f>SUM(E27+D28)</f>
        <v>17176.839999999997</v>
      </c>
      <c r="F28" s="57">
        <f>SUM(F27+E28)</f>
        <v>-2638.340000000004</v>
      </c>
      <c r="G28" s="57">
        <f>SUM(G27+F28)</f>
        <v>-1640.892000000004</v>
      </c>
      <c r="H28" s="57">
        <f>SUM(H26+G28)</f>
        <v>-431.6040000000039</v>
      </c>
      <c r="I28" s="57">
        <f>SUM(I26+H28)</f>
        <v>-1645.236000000004</v>
      </c>
      <c r="J28" s="57">
        <f>SUM(J26+I28)</f>
        <v>336.1019999999962</v>
      </c>
      <c r="K28" s="57">
        <f aca="true" t="shared" si="7" ref="K28:R28">SUM(K26+J28)</f>
        <v>707.0299999999966</v>
      </c>
      <c r="L28" s="57">
        <f t="shared" si="7"/>
        <v>1283.0079999999962</v>
      </c>
      <c r="M28" s="57">
        <f t="shared" si="7"/>
        <v>2361.1534999999963</v>
      </c>
      <c r="N28" s="57">
        <f t="shared" si="7"/>
        <v>-6921.121000000001</v>
      </c>
      <c r="O28" s="57">
        <f t="shared" si="7"/>
        <v>-13411.2555</v>
      </c>
      <c r="P28" s="57">
        <f t="shared" si="7"/>
        <v>-11648.75</v>
      </c>
      <c r="Q28" s="57">
        <f t="shared" si="7"/>
        <v>-14796.7245</v>
      </c>
      <c r="R28" s="57">
        <f t="shared" si="7"/>
        <v>-15143.159000000001</v>
      </c>
      <c r="S28" s="48"/>
      <c r="T28" s="43"/>
    </row>
    <row r="29" spans="1:20" ht="27.75" customHeight="1" hidden="1" thickBot="1">
      <c r="A29" s="29" t="s">
        <v>35</v>
      </c>
      <c r="B29" s="32"/>
      <c r="C29" s="64"/>
      <c r="D29" s="64"/>
      <c r="E29" s="64"/>
      <c r="F29" s="64"/>
      <c r="G29" s="9"/>
      <c r="H29" s="8"/>
      <c r="I29" s="9"/>
      <c r="J29" s="9"/>
      <c r="K29" s="9"/>
      <c r="L29" s="9"/>
      <c r="M29" s="9"/>
      <c r="N29" s="9"/>
      <c r="O29" s="9"/>
      <c r="P29" s="9"/>
      <c r="Q29" s="9"/>
      <c r="R29" s="13"/>
      <c r="S29" s="48"/>
      <c r="T29" s="44"/>
    </row>
    <row r="30" spans="1:20" ht="24" customHeight="1" hidden="1" thickBot="1">
      <c r="A30" s="29" t="s">
        <v>36</v>
      </c>
      <c r="B30" s="26"/>
      <c r="C30" s="64"/>
      <c r="D30" s="64"/>
      <c r="E30" s="64"/>
      <c r="F30" s="64"/>
      <c r="G30" s="11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4"/>
      <c r="S30" s="48"/>
      <c r="T30" s="44"/>
    </row>
    <row r="31" spans="1:20" ht="18" customHeight="1" hidden="1" thickBot="1">
      <c r="A31" s="30" t="s">
        <v>37</v>
      </c>
      <c r="B31" s="27"/>
      <c r="C31" s="65"/>
      <c r="D31" s="65"/>
      <c r="E31" s="65"/>
      <c r="F31" s="65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9"/>
      <c r="S31" s="49"/>
      <c r="T31" s="45"/>
    </row>
    <row r="32" spans="1:20" ht="18" customHeight="1" hidden="1" thickBot="1">
      <c r="A32" s="30" t="s">
        <v>38</v>
      </c>
      <c r="B32" s="27"/>
      <c r="C32" s="15"/>
      <c r="D32" s="15"/>
      <c r="E32" s="15"/>
      <c r="F32" s="15"/>
      <c r="G32" s="53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  <c r="S32" s="49"/>
      <c r="T32" s="45"/>
    </row>
    <row r="33" spans="2:20" ht="16.5" customHeight="1">
      <c r="B33" t="s">
        <v>50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</row>
    <row r="35" ht="12.75" hidden="1"/>
    <row r="36" ht="12.75" hidden="1"/>
    <row r="37" ht="12.75" hidden="1"/>
    <row r="42" ht="12.75" customHeight="1"/>
    <row r="43" ht="12.75" customHeight="1"/>
  </sheetData>
  <sheetProtection/>
  <mergeCells count="5">
    <mergeCell ref="B5:T5"/>
    <mergeCell ref="B6:T6"/>
    <mergeCell ref="B4:T4"/>
    <mergeCell ref="B1:I1"/>
    <mergeCell ref="B2:S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2020-02-20T05:23:29Z</cp:lastPrinted>
  <dcterms:created xsi:type="dcterms:W3CDTF">2011-06-16T11:06:26Z</dcterms:created>
  <dcterms:modified xsi:type="dcterms:W3CDTF">2020-02-20T05:23:32Z</dcterms:modified>
  <cp:category/>
  <cp:version/>
  <cp:contentType/>
  <cp:contentStatus/>
</cp:coreProperties>
</file>