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<sst xmlns="http://schemas.openxmlformats.org/spreadsheetml/2006/main" count="70" uniqueCount="69">
  <si>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СПРАВКА</t>
  </si>
  <si>
    <t xml:space="preserve">Начислено  </t>
  </si>
  <si>
    <t>Расходы</t>
  </si>
  <si>
    <t>Услуги РИРЦ</t>
  </si>
  <si>
    <t>Вывоз ТБО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</si>
  <si>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</si>
  <si>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</si>
  <si>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</si>
  <si>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</si>
  <si>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</si>
  <si>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</si>
  <si>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</si>
  <si>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</si>
  <si>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</si>
  <si>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</si>
  <si>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</si>
  <si>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</si>
  <si>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</si>
  <si>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</si>
  <si>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</si>
  <si>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</si>
  <si>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</si>
  <si>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</si>
  <si>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</si>
  <si>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</si>
  <si>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</si>
  <si>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</si>
  <si>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</si>
  <si>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</si>
  <si>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</si>
  <si>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</si>
  <si>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</si>
  <si>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</si>
  <si>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</si>
  <si>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</si>
  <si>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</si>
  <si>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</si>
  <si>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</si>
  <si>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</si>
  <si>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</si>
  <si>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</si>
  <si>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</si>
  <si>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</si>
  <si>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пер.Мира д.8</t>
  </si>
  <si>
    <t>за 2010 г</t>
  </si>
  <si>
    <t>10</t>
  </si>
  <si>
    <t>Финансовый результат по дому с начала года</t>
  </si>
  <si>
    <t>Итого за 2011 г</t>
  </si>
  <si>
    <t>Результат за месяц</t>
  </si>
  <si>
    <t>Итого за 2012 г</t>
  </si>
  <si>
    <t>Благоустройство территории</t>
  </si>
  <si>
    <t>4.12</t>
  </si>
  <si>
    <t>Итого за 2013 г</t>
  </si>
  <si>
    <t>Итого за 2014 г</t>
  </si>
  <si>
    <t>рентабельность 5%</t>
  </si>
  <si>
    <t>Итого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</si>
  <si>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</si>
  <si>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</si>
  <si>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</si>
  <si>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</si>
  <si>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 xml:space="preserve">Материалы </t>
  </si>
  <si>
    <t>Исполнитель  вед. экономист /Викторова Л.С./</t>
  </si>
  <si>
    <t>Итого за 2016 г</t>
  </si>
  <si>
    <t>Итого за 2017 г</t>
  </si>
  <si>
    <t>Итого за 2018 г</t>
  </si>
  <si>
    <t>Всего за 2010-2018</t>
  </si>
  <si>
    <t>Итого за 2019 г</t>
  </si>
  <si>
    <t>Дом по пер.Мира д.8 вступил в ООО "Наш дом" в феврале 2010 года   тариф 9,2 руб, с 1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</si>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</sst>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5" xfId="0" applyFont="1" applyFill="1" applyBorder="1" applyAlignment="1">
      <alignment/>
    </xf>
    <xf numFmtId="0" fontId="20" fillId="2" borderId="23" xfId="0" applyFont="1" applyFill="1" applyBorder="1" applyAlignment="1">
      <alignment/>
    </xf>
    <xf numFmtId="0" fontId="0" fillId="2" borderId="21" xfId="0" applyFill="1" applyBorder="1" applyAlignment="1">
      <alignment/>
    </xf>
    <xf numFmtId="0" fontId="25" fillId="0" borderId="21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wrapText="1"/>
    </xf>
    <xf numFmtId="49" fontId="21" fillId="0" borderId="25" xfId="0" applyNumberFormat="1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2" borderId="27" xfId="0" applyFont="1" applyFill="1" applyBorder="1" applyAlignment="1">
      <alignment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23" fillId="0" borderId="21" xfId="0" applyFont="1" applyBorder="1" applyAlignment="1">
      <alignment horizontal="left" vertical="center" wrapText="1"/>
    </xf>
    <xf numFmtId="0" fontId="21" fillId="0" borderId="29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2" fontId="21" fillId="0" borderId="32" xfId="0" applyNumberFormat="1" applyFont="1" applyBorder="1" applyAlignment="1">
      <alignment wrapText="1"/>
    </xf>
    <xf numFmtId="2" fontId="21" fillId="0" borderId="33" xfId="0" applyNumberFormat="1" applyFont="1" applyBorder="1" applyAlignment="1">
      <alignment/>
    </xf>
    <xf numFmtId="2" fontId="21" fillId="0" borderId="29" xfId="0" applyNumberFormat="1" applyFont="1" applyBorder="1" applyAlignment="1">
      <alignment wrapText="1"/>
    </xf>
    <xf numFmtId="2" fontId="21" fillId="0" borderId="13" xfId="0" applyNumberFormat="1" applyFont="1" applyBorder="1" applyAlignment="1">
      <alignment/>
    </xf>
    <xf numFmtId="0" fontId="21" fillId="0" borderId="28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0" xfId="0" applyFont="1" applyBorder="1" applyAlignment="1">
      <alignment horizontal="left" wrapText="1"/>
    </xf>
    <xf numFmtId="0" fontId="19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31" xfId="0" applyFont="1" applyBorder="1" applyAlignment="1">
      <alignment/>
    </xf>
    <xf numFmtId="0" fontId="20" fillId="2" borderId="31" xfId="0" applyFont="1" applyFill="1" applyBorder="1" applyAlignment="1">
      <alignment/>
    </xf>
    <xf numFmtId="2" fontId="25" fillId="0" borderId="22" xfId="0" applyNumberFormat="1" applyFont="1" applyBorder="1" applyAlignment="1">
      <alignment/>
    </xf>
    <xf numFmtId="2" fontId="25" fillId="0" borderId="21" xfId="0" applyNumberFormat="1" applyFont="1" applyBorder="1" applyAlignment="1">
      <alignment/>
    </xf>
    <xf numFmtId="2" fontId="21" fillId="0" borderId="21" xfId="0" applyNumberFormat="1" applyFont="1" applyBorder="1" applyAlignment="1">
      <alignment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 wrapText="1"/>
    </xf>
    <xf numFmtId="2" fontId="21" fillId="0" borderId="40" xfId="0" applyNumberFormat="1" applyFont="1" applyBorder="1" applyAlignment="1">
      <alignment wrapText="1"/>
    </xf>
    <xf numFmtId="2" fontId="21" fillId="0" borderId="41" xfId="0" applyNumberFormat="1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2" borderId="39" xfId="0" applyFont="1" applyFill="1" applyBorder="1" applyAlignment="1">
      <alignment wrapText="1"/>
    </xf>
    <xf numFmtId="0" fontId="21" fillId="0" borderId="44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2" borderId="23" xfId="0" applyFont="1" applyFill="1" applyBorder="1" applyAlignment="1">
      <alignment wrapText="1"/>
    </xf>
    <xf numFmtId="0" fontId="21" fillId="0" borderId="43" xfId="0" applyFont="1" applyBorder="1" applyAlignment="1">
      <alignment/>
    </xf>
    <xf numFmtId="0" fontId="21" fillId="0" borderId="45" xfId="0" applyFont="1" applyBorder="1" applyAlignment="1">
      <alignment/>
    </xf>
    <xf numFmtId="0" fontId="26" fillId="0" borderId="28" xfId="0" applyFont="1" applyBorder="1" applyAlignment="1">
      <alignment wrapText="1"/>
    </xf>
    <xf numFmtId="0" fontId="26" fillId="0" borderId="46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2" fontId="21" fillId="0" borderId="11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31" xfId="0" applyNumberFormat="1" applyFont="1" applyBorder="1" applyAlignment="1">
      <alignment/>
    </xf>
    <xf numFmtId="49" fontId="22" fillId="0" borderId="29" xfId="0" applyNumberFormat="1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27" fillId="0" borderId="21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21" xfId="0" applyFont="1" applyBorder="1" applyAlignment="1">
      <alignment/>
    </xf>
    <xf numFmtId="0" fontId="22" fillId="0" borderId="0" xfId="0" applyFont="1" applyAlignment="1">
      <alignment/>
    </xf>
    <xf numFmtId="0" fontId="27" fillId="0" borderId="48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43" xfId="0" applyFont="1" applyBorder="1" applyAlignment="1">
      <alignment/>
    </xf>
    <xf numFmtId="2" fontId="27" fillId="0" borderId="31" xfId="0" applyNumberFormat="1" applyFont="1" applyBorder="1" applyAlignment="1">
      <alignment/>
    </xf>
    <xf numFmtId="2" fontId="27" fillId="0" borderId="23" xfId="0" applyNumberFormat="1" applyFont="1" applyBorder="1" applyAlignment="1">
      <alignment/>
    </xf>
    <xf numFmtId="2" fontId="27" fillId="0" borderId="21" xfId="0" applyNumberFormat="1" applyFont="1" applyBorder="1" applyAlignment="1">
      <alignment/>
    </xf>
    <xf numFmtId="0" fontId="22" fillId="0" borderId="21" xfId="0" applyFont="1" applyBorder="1" applyAlignment="1">
      <alignment/>
    </xf>
    <xf numFmtId="0" fontId="26" fillId="0" borderId="45" xfId="0" applyFont="1" applyBorder="1" applyAlignment="1">
      <alignment wrapText="1"/>
    </xf>
    <xf numFmtId="2" fontId="21" fillId="0" borderId="28" xfId="0" applyNumberFormat="1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PageLayoutView="0" workbookViewId="0" topLeftCell="A7">
      <selection activeCell="B2" sqref="B2:W2"/>
    </sheetView>
  </sheetViews>
  <sheetFormatPr defaultColWidth="9.00390625" defaultRowHeight="12.75"/>
  <cols>
    <col min="1" max="1" width="4.625" style="29" customWidth="1"/>
    <col min="2" max="2" width="16.75390625" style="0" customWidth="1"/>
    <col min="3" max="3" width="7.375" style="0" hidden="1" customWidth="1"/>
    <col min="4" max="4" width="7.75390625" style="0" hidden="1" customWidth="1"/>
    <col min="5" max="5" width="9.125" style="0" hidden="1" customWidth="1"/>
    <col min="6" max="6" width="7.875" style="0" hidden="1" customWidth="1"/>
    <col min="7" max="8" width="9.125" style="0" hidden="1" customWidth="1"/>
    <col min="9" max="9" width="8.375" style="0" hidden="1" customWidth="1"/>
    <col min="10" max="10" width="9.125" style="0" hidden="1" customWidth="1"/>
    <col min="11" max="11" width="8.375" style="0" hidden="1" customWidth="1"/>
    <col min="12" max="12" width="8.375" style="0" customWidth="1"/>
    <col min="13" max="13" width="8.75390625" style="0" customWidth="1"/>
    <col min="14" max="14" width="8.375" style="0" customWidth="1"/>
    <col min="15" max="15" width="8.125" style="0" customWidth="1"/>
    <col min="16" max="16" width="8.625" style="0" customWidth="1"/>
    <col min="17" max="17" width="8.75390625" style="0" customWidth="1"/>
    <col min="19" max="19" width="8.125" style="0" customWidth="1"/>
    <col min="20" max="20" width="9.125" style="0" customWidth="1"/>
    <col min="21" max="22" width="8.375" style="0" customWidth="1"/>
    <col min="23" max="23" width="8.875" style="0" customWidth="1"/>
    <col min="25" max="25" width="10.625" style="0" customWidth="1"/>
  </cols>
  <sheetData>
    <row r="1" spans="2:30" ht="12.75" customHeight="1">
      <c r="B1" s="103" t="s">
        <v>68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3" t="s">
        <v>67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51"/>
      <c r="Y2" s="4"/>
      <c r="Z2" s="4"/>
      <c r="AA2" s="4"/>
      <c r="AB2" s="4"/>
      <c r="AC2" s="4"/>
      <c r="AD2" s="4"/>
    </row>
    <row r="3" spans="2:30" ht="12.75" customHeight="1"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3"/>
      <c r="AA3" s="3"/>
      <c r="AB3" s="3"/>
      <c r="AC3" s="3"/>
      <c r="AD3" s="3"/>
    </row>
    <row r="4" spans="2:30" ht="15" customHeight="1">
      <c r="B4" s="101" t="s">
        <v>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2"/>
      <c r="AA4" s="2"/>
      <c r="AB4" s="2"/>
      <c r="AC4" s="2"/>
      <c r="AD4" s="2"/>
    </row>
    <row r="5" spans="2:30" ht="16.5" customHeight="1">
      <c r="B5" s="101" t="s">
        <v>43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2"/>
      <c r="AA5" s="2"/>
      <c r="AB5" s="2"/>
      <c r="AC5" s="2"/>
      <c r="AD5" s="2"/>
    </row>
    <row r="6" spans="2:30" ht="16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39.75" customHeight="1" thickBot="1">
      <c r="A7" s="37" t="s">
        <v>26</v>
      </c>
      <c r="B7" s="30" t="s">
        <v>6</v>
      </c>
      <c r="C7" s="40" t="s">
        <v>44</v>
      </c>
      <c r="D7" s="52" t="s">
        <v>47</v>
      </c>
      <c r="E7" s="52" t="s">
        <v>49</v>
      </c>
      <c r="F7" s="52" t="s">
        <v>52</v>
      </c>
      <c r="G7" s="52" t="s">
        <v>53</v>
      </c>
      <c r="H7" s="52" t="s">
        <v>55</v>
      </c>
      <c r="I7" s="52" t="s">
        <v>62</v>
      </c>
      <c r="J7" s="52" t="s">
        <v>63</v>
      </c>
      <c r="K7" s="52" t="s">
        <v>64</v>
      </c>
      <c r="L7" s="6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21</v>
      </c>
      <c r="W7" s="14" t="s">
        <v>20</v>
      </c>
      <c r="X7" s="52" t="s">
        <v>66</v>
      </c>
      <c r="Y7" s="19" t="s">
        <v>65</v>
      </c>
      <c r="Z7" s="1"/>
      <c r="AA7" s="1"/>
      <c r="AB7" s="1"/>
      <c r="AC7" s="1"/>
      <c r="AD7" s="1"/>
    </row>
    <row r="8" spans="1:25" ht="13.5" thickBot="1">
      <c r="A8" s="38" t="s">
        <v>27</v>
      </c>
      <c r="B8" s="31" t="s">
        <v>1</v>
      </c>
      <c r="C8" s="77">
        <v>27973.52</v>
      </c>
      <c r="D8" s="78">
        <v>30536.64</v>
      </c>
      <c r="E8" s="77">
        <v>30095.04</v>
      </c>
      <c r="F8" s="77">
        <v>29874.24</v>
      </c>
      <c r="G8" s="77">
        <v>29874.24</v>
      </c>
      <c r="H8" s="77">
        <v>29874.24</v>
      </c>
      <c r="I8" s="77">
        <v>29874.24</v>
      </c>
      <c r="J8" s="77">
        <v>29874.24</v>
      </c>
      <c r="K8" s="99">
        <v>29874.24</v>
      </c>
      <c r="L8" s="76">
        <v>2327.16</v>
      </c>
      <c r="M8" s="76">
        <v>2327.16</v>
      </c>
      <c r="N8" s="76">
        <v>2327.16</v>
      </c>
      <c r="O8" s="76">
        <v>2327.16</v>
      </c>
      <c r="P8" s="76">
        <v>2327.16</v>
      </c>
      <c r="Q8" s="76">
        <v>2327.16</v>
      </c>
      <c r="R8" s="76">
        <v>2327.16</v>
      </c>
      <c r="S8" s="76">
        <v>2327.16</v>
      </c>
      <c r="T8" s="76">
        <v>2327.16</v>
      </c>
      <c r="U8" s="76">
        <v>2327.16</v>
      </c>
      <c r="V8" s="76">
        <v>2327.16</v>
      </c>
      <c r="W8" s="76">
        <v>2327.16</v>
      </c>
      <c r="X8" s="49">
        <f>SUM(L8:W8)</f>
        <v>27925.92</v>
      </c>
      <c r="Y8" s="50">
        <f>SUM(C8:W8)</f>
        <v>295776.5599999997</v>
      </c>
    </row>
    <row r="9" spans="1:25" s="91" customFormat="1" ht="13.5" thickBot="1">
      <c r="A9" s="84" t="s">
        <v>28</v>
      </c>
      <c r="B9" s="85" t="s">
        <v>2</v>
      </c>
      <c r="C9" s="86">
        <f aca="true" t="shared" si="0" ref="C9:L9">SUM(C10:C19)</f>
        <v>22285.969999999998</v>
      </c>
      <c r="D9" s="87">
        <f t="shared" si="0"/>
        <v>26806.230000000003</v>
      </c>
      <c r="E9" s="86">
        <f t="shared" si="0"/>
        <v>26319.190000000002</v>
      </c>
      <c r="F9" s="86">
        <f t="shared" si="0"/>
        <v>28073.230000000003</v>
      </c>
      <c r="G9" s="86">
        <f t="shared" si="0"/>
        <v>28994.980000000003</v>
      </c>
      <c r="H9" s="88">
        <f>SUM(H10:H19)</f>
        <v>30350.14</v>
      </c>
      <c r="I9" s="88">
        <f>SUM(I10:I19)</f>
        <v>32323.699999999997</v>
      </c>
      <c r="J9" s="88">
        <f>SUM(J10:J19)</f>
        <v>30601.05</v>
      </c>
      <c r="K9" s="88">
        <f t="shared" si="0"/>
        <v>31591.64</v>
      </c>
      <c r="L9" s="88">
        <f t="shared" si="0"/>
        <v>1982.0399999999997</v>
      </c>
      <c r="M9" s="89">
        <f aca="true" t="shared" si="1" ref="M9:W9">SUM(M10:M19)</f>
        <v>1883.0300000000002</v>
      </c>
      <c r="N9" s="89">
        <f t="shared" si="1"/>
        <v>1826.65</v>
      </c>
      <c r="O9" s="89">
        <f t="shared" si="1"/>
        <v>2245.02</v>
      </c>
      <c r="P9" s="89">
        <f t="shared" si="1"/>
        <v>1907.8900000000003</v>
      </c>
      <c r="Q9" s="89">
        <f t="shared" si="1"/>
        <v>1873.54</v>
      </c>
      <c r="R9" s="89">
        <f t="shared" si="1"/>
        <v>1931.9500000000003</v>
      </c>
      <c r="S9" s="89">
        <f t="shared" si="1"/>
        <v>2236</v>
      </c>
      <c r="T9" s="89">
        <f t="shared" si="1"/>
        <v>1800.75</v>
      </c>
      <c r="U9" s="89">
        <f t="shared" si="1"/>
        <v>2102.1</v>
      </c>
      <c r="V9" s="89">
        <f t="shared" si="1"/>
        <v>1915.1399999999999</v>
      </c>
      <c r="W9" s="87">
        <f t="shared" si="1"/>
        <v>2183.18</v>
      </c>
      <c r="X9" s="86">
        <f>SUM(L9:W9)</f>
        <v>23887.29</v>
      </c>
      <c r="Y9" s="90">
        <f>SUM(C9:W9)</f>
        <v>281233.42000000004</v>
      </c>
    </row>
    <row r="10" spans="1:25" ht="13.5" thickBot="1">
      <c r="A10" s="38" t="s">
        <v>29</v>
      </c>
      <c r="B10" s="32" t="s">
        <v>4</v>
      </c>
      <c r="C10" s="66">
        <v>5722.71</v>
      </c>
      <c r="D10" s="66">
        <v>7518.34</v>
      </c>
      <c r="E10" s="45">
        <v>7558.54</v>
      </c>
      <c r="F10" s="45">
        <v>9043.56</v>
      </c>
      <c r="G10" s="45">
        <v>9927</v>
      </c>
      <c r="H10" s="45">
        <v>9122.41</v>
      </c>
      <c r="I10" s="45">
        <v>9338.18</v>
      </c>
      <c r="J10" s="45">
        <v>9389.98</v>
      </c>
      <c r="K10" s="100">
        <v>9458.26</v>
      </c>
      <c r="L10" s="46"/>
      <c r="M10" s="7"/>
      <c r="N10" s="7"/>
      <c r="O10" s="7">
        <v>18.62</v>
      </c>
      <c r="P10" s="7">
        <v>14.23</v>
      </c>
      <c r="Q10" s="7">
        <v>5.89</v>
      </c>
      <c r="R10" s="7">
        <v>15.51</v>
      </c>
      <c r="S10" s="7">
        <v>11.46</v>
      </c>
      <c r="T10" s="7">
        <v>2.87</v>
      </c>
      <c r="U10" s="7">
        <v>10.27</v>
      </c>
      <c r="V10" s="7">
        <v>8.55</v>
      </c>
      <c r="W10" s="15">
        <v>5.79</v>
      </c>
      <c r="X10" s="54">
        <f aca="true" t="shared" si="2" ref="X10:X21">SUM(L10:W10)</f>
        <v>93.19000000000001</v>
      </c>
      <c r="Y10" s="57">
        <f>SUM(C10:W10)</f>
        <v>77172.16999999998</v>
      </c>
    </row>
    <row r="11" spans="1:25" ht="23.25" customHeight="1" thickBot="1">
      <c r="A11" s="38" t="s">
        <v>30</v>
      </c>
      <c r="B11" s="33" t="s">
        <v>59</v>
      </c>
      <c r="C11" s="67">
        <v>6212.27</v>
      </c>
      <c r="D11" s="67">
        <v>2784.44</v>
      </c>
      <c r="E11" s="47">
        <v>8.72</v>
      </c>
      <c r="F11" s="47">
        <v>7.03</v>
      </c>
      <c r="G11" s="47"/>
      <c r="H11" s="47">
        <v>0</v>
      </c>
      <c r="I11" s="47">
        <v>24.14</v>
      </c>
      <c r="J11" s="47">
        <v>0</v>
      </c>
      <c r="K11" s="47">
        <v>0</v>
      </c>
      <c r="L11" s="48"/>
      <c r="M11" s="9"/>
      <c r="N11" s="9"/>
      <c r="O11" s="9"/>
      <c r="P11" s="9"/>
      <c r="Q11" s="9"/>
      <c r="R11" s="9"/>
      <c r="S11" s="9"/>
      <c r="T11" s="9"/>
      <c r="U11" s="9"/>
      <c r="V11" s="9"/>
      <c r="W11" s="16"/>
      <c r="X11" s="59">
        <f>SUM(L11:W11)</f>
        <v>0</v>
      </c>
      <c r="Y11" s="58">
        <f>SUM(C11:W11)</f>
        <v>9036.6</v>
      </c>
    </row>
    <row r="12" spans="1:25" ht="15.75" customHeight="1" thickBot="1">
      <c r="A12" s="38" t="s">
        <v>31</v>
      </c>
      <c r="B12" s="33" t="s">
        <v>60</v>
      </c>
      <c r="C12" s="68">
        <v>1669.49</v>
      </c>
      <c r="D12" s="68">
        <v>20.9</v>
      </c>
      <c r="E12" s="41">
        <v>116.02</v>
      </c>
      <c r="F12" s="41">
        <v>0</v>
      </c>
      <c r="G12" s="41">
        <v>80.81</v>
      </c>
      <c r="H12" s="41">
        <v>352.23</v>
      </c>
      <c r="I12" s="41">
        <v>3329.23</v>
      </c>
      <c r="J12" s="41">
        <v>995</v>
      </c>
      <c r="K12" s="41">
        <v>535</v>
      </c>
      <c r="L12" s="8"/>
      <c r="M12" s="9"/>
      <c r="N12" s="9"/>
      <c r="O12" s="9">
        <v>250</v>
      </c>
      <c r="P12" s="9"/>
      <c r="Q12" s="9"/>
      <c r="R12" s="9"/>
      <c r="S12" s="9">
        <v>385</v>
      </c>
      <c r="T12" s="9"/>
      <c r="U12" s="9"/>
      <c r="V12" s="9"/>
      <c r="W12" s="16">
        <v>200</v>
      </c>
      <c r="X12" s="53">
        <f t="shared" si="2"/>
        <v>835</v>
      </c>
      <c r="Y12" s="58">
        <f aca="true" t="shared" si="3" ref="Y12:Y19">SUM(C12:W12)</f>
        <v>7933.68</v>
      </c>
    </row>
    <row r="13" spans="1:25" ht="24.75" customHeight="1" thickBot="1">
      <c r="A13" s="38" t="s">
        <v>32</v>
      </c>
      <c r="B13" s="33" t="s">
        <v>50</v>
      </c>
      <c r="C13" s="68">
        <v>0</v>
      </c>
      <c r="D13" s="68">
        <v>0</v>
      </c>
      <c r="E13" s="41">
        <v>256</v>
      </c>
      <c r="F13" s="41">
        <v>0</v>
      </c>
      <c r="G13" s="41">
        <v>7.27</v>
      </c>
      <c r="H13" s="41">
        <v>0</v>
      </c>
      <c r="I13" s="41">
        <v>51</v>
      </c>
      <c r="J13" s="41">
        <v>0</v>
      </c>
      <c r="K13" s="41">
        <v>0</v>
      </c>
      <c r="L13" s="8">
        <v>29.34</v>
      </c>
      <c r="M13" s="9">
        <v>15</v>
      </c>
      <c r="N13" s="9"/>
      <c r="O13" s="9"/>
      <c r="P13" s="9"/>
      <c r="Q13" s="9"/>
      <c r="R13" s="9"/>
      <c r="S13" s="9"/>
      <c r="T13" s="9"/>
      <c r="U13" s="9"/>
      <c r="V13" s="9"/>
      <c r="W13" s="16"/>
      <c r="X13" s="53">
        <f>SUM(L13:W13)</f>
        <v>44.34</v>
      </c>
      <c r="Y13" s="58">
        <f>SUM(C13:W13)</f>
        <v>358.60999999999996</v>
      </c>
    </row>
    <row r="14" spans="1:25" ht="22.5" customHeight="1" thickBot="1">
      <c r="A14" s="38" t="s">
        <v>33</v>
      </c>
      <c r="B14" s="33" t="s">
        <v>5</v>
      </c>
      <c r="C14" s="68">
        <v>463.26</v>
      </c>
      <c r="D14" s="68">
        <v>40.14</v>
      </c>
      <c r="E14" s="41">
        <v>0</v>
      </c>
      <c r="F14" s="41">
        <v>0</v>
      </c>
      <c r="G14" s="41"/>
      <c r="H14" s="41">
        <v>0</v>
      </c>
      <c r="I14" s="41">
        <v>0</v>
      </c>
      <c r="J14" s="41">
        <v>0</v>
      </c>
      <c r="K14" s="41">
        <v>0</v>
      </c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16"/>
      <c r="X14" s="53">
        <f t="shared" si="2"/>
        <v>0</v>
      </c>
      <c r="Y14" s="58">
        <f t="shared" si="3"/>
        <v>503.4</v>
      </c>
    </row>
    <row r="15" spans="1:25" ht="33" customHeight="1" thickBot="1">
      <c r="A15" s="38" t="s">
        <v>34</v>
      </c>
      <c r="B15" s="33" t="s">
        <v>56</v>
      </c>
      <c r="C15" s="68">
        <v>376.71</v>
      </c>
      <c r="D15" s="68">
        <v>1343.04</v>
      </c>
      <c r="E15" s="41">
        <v>1668.45</v>
      </c>
      <c r="F15" s="41">
        <v>1464.41</v>
      </c>
      <c r="G15" s="41">
        <v>1102.66</v>
      </c>
      <c r="H15" s="41">
        <v>1300.49</v>
      </c>
      <c r="I15" s="41">
        <v>1375.23</v>
      </c>
      <c r="J15" s="41">
        <v>1397.21</v>
      </c>
      <c r="K15" s="41">
        <v>1468.28</v>
      </c>
      <c r="L15" s="8">
        <v>118.27</v>
      </c>
      <c r="M15" s="9">
        <v>123.97</v>
      </c>
      <c r="N15" s="9">
        <v>98.43</v>
      </c>
      <c r="O15" s="9">
        <v>117.89</v>
      </c>
      <c r="P15" s="9">
        <v>98.07</v>
      </c>
      <c r="Q15" s="9">
        <v>75.2</v>
      </c>
      <c r="R15" s="9">
        <v>78.59</v>
      </c>
      <c r="S15" s="9">
        <v>66.61</v>
      </c>
      <c r="T15" s="9">
        <v>74.9</v>
      </c>
      <c r="U15" s="9">
        <v>155.11</v>
      </c>
      <c r="V15" s="9">
        <v>98.08</v>
      </c>
      <c r="W15" s="16">
        <v>83.44</v>
      </c>
      <c r="X15" s="54">
        <f t="shared" si="2"/>
        <v>1188.5600000000002</v>
      </c>
      <c r="Y15" s="57">
        <f t="shared" si="3"/>
        <v>12685.040000000003</v>
      </c>
    </row>
    <row r="16" spans="1:25" ht="33.75" customHeight="1" thickBot="1">
      <c r="A16" s="38" t="s">
        <v>35</v>
      </c>
      <c r="B16" s="33" t="s">
        <v>57</v>
      </c>
      <c r="C16" s="68">
        <v>665.75</v>
      </c>
      <c r="D16" s="68">
        <v>731.18</v>
      </c>
      <c r="E16" s="41">
        <v>216.52</v>
      </c>
      <c r="F16" s="41">
        <v>152.51</v>
      </c>
      <c r="G16" s="41">
        <v>331.69</v>
      </c>
      <c r="H16" s="41">
        <v>224.12</v>
      </c>
      <c r="I16" s="41">
        <v>195.66</v>
      </c>
      <c r="J16" s="41">
        <v>152.83</v>
      </c>
      <c r="K16" s="41">
        <v>148.1</v>
      </c>
      <c r="L16" s="8">
        <v>9.36</v>
      </c>
      <c r="M16" s="9">
        <v>8.07</v>
      </c>
      <c r="N16" s="9">
        <v>7.03</v>
      </c>
      <c r="O16" s="9">
        <v>8.18</v>
      </c>
      <c r="P16" s="9">
        <v>0.86</v>
      </c>
      <c r="Q16" s="9">
        <v>12.26</v>
      </c>
      <c r="R16" s="9">
        <v>13.75</v>
      </c>
      <c r="S16" s="9">
        <v>16.02</v>
      </c>
      <c r="T16" s="9">
        <v>23.8</v>
      </c>
      <c r="U16" s="9">
        <v>5.89</v>
      </c>
      <c r="V16" s="9">
        <v>21.72</v>
      </c>
      <c r="W16" s="16">
        <f>7.65</f>
        <v>7.65</v>
      </c>
      <c r="X16" s="53">
        <f t="shared" si="2"/>
        <v>134.59</v>
      </c>
      <c r="Y16" s="58">
        <f t="shared" si="3"/>
        <v>2952.95</v>
      </c>
    </row>
    <row r="17" spans="1:25" ht="32.25" customHeight="1" thickBot="1">
      <c r="A17" s="38" t="s">
        <v>36</v>
      </c>
      <c r="B17" s="33" t="s">
        <v>58</v>
      </c>
      <c r="C17" s="68">
        <v>201.78</v>
      </c>
      <c r="D17" s="68">
        <v>1186.79</v>
      </c>
      <c r="E17" s="41">
        <v>1122.66</v>
      </c>
      <c r="F17" s="41">
        <v>1496.1</v>
      </c>
      <c r="G17" s="41">
        <v>1286.2</v>
      </c>
      <c r="H17" s="41">
        <v>1688.61</v>
      </c>
      <c r="I17" s="41">
        <v>1431.01</v>
      </c>
      <c r="J17" s="41">
        <v>1507.35</v>
      </c>
      <c r="K17" s="41">
        <v>1651.15</v>
      </c>
      <c r="L17" s="8">
        <f>5.84+56.59+69.71</f>
        <v>132.14</v>
      </c>
      <c r="M17" s="9">
        <f>5.51+78.85+67.57</f>
        <v>151.93</v>
      </c>
      <c r="N17" s="9">
        <f>70.48+4.79+52.57</f>
        <v>127.84</v>
      </c>
      <c r="O17" s="9">
        <f>5.12+58.12+186.75</f>
        <v>249.99</v>
      </c>
      <c r="P17" s="9">
        <f>5+64.18+50.61</f>
        <v>119.79</v>
      </c>
      <c r="Q17" s="9">
        <f>5.81+44.67+89.62</f>
        <v>140.10000000000002</v>
      </c>
      <c r="R17" s="9">
        <f>5.59+75.65+40.82</f>
        <v>122.06</v>
      </c>
      <c r="S17" s="9">
        <f>5.12+46.5+65.07</f>
        <v>116.69</v>
      </c>
      <c r="T17" s="9">
        <f>3.72+41.36+59.25</f>
        <v>104.33</v>
      </c>
      <c r="U17" s="9">
        <f>3.77+66.25+168.35</f>
        <v>238.37</v>
      </c>
      <c r="V17" s="9">
        <f>4.17+41.66+43.36</f>
        <v>89.19</v>
      </c>
      <c r="W17" s="16">
        <f>4.16+125.99+72.78</f>
        <v>202.93</v>
      </c>
      <c r="X17" s="54">
        <f t="shared" si="2"/>
        <v>1795.36</v>
      </c>
      <c r="Y17" s="57">
        <f t="shared" si="3"/>
        <v>13367.010000000002</v>
      </c>
    </row>
    <row r="18" spans="1:25" ht="19.5" customHeight="1" thickBot="1">
      <c r="A18" s="38" t="s">
        <v>37</v>
      </c>
      <c r="B18" s="33" t="s">
        <v>8</v>
      </c>
      <c r="C18" s="68">
        <v>6006.23</v>
      </c>
      <c r="D18" s="68">
        <v>11354.93</v>
      </c>
      <c r="E18" s="41">
        <v>14109.12</v>
      </c>
      <c r="F18" s="41">
        <v>14781.62</v>
      </c>
      <c r="G18" s="41">
        <v>15131.35</v>
      </c>
      <c r="H18" s="41">
        <v>16534.27</v>
      </c>
      <c r="I18" s="41">
        <v>15451.25</v>
      </c>
      <c r="J18" s="41">
        <v>16030.68</v>
      </c>
      <c r="K18" s="41">
        <f>17202.78+0.06</f>
        <v>17202.84</v>
      </c>
      <c r="L18" s="8">
        <f>1982.04-383.11</f>
        <v>1598.9299999999998</v>
      </c>
      <c r="M18" s="9">
        <f>1883.03-386.84</f>
        <v>1496.19</v>
      </c>
      <c r="N18" s="9">
        <f>1826.65-321.17</f>
        <v>1505.48</v>
      </c>
      <c r="O18" s="9">
        <f>2245.02-732.55</f>
        <v>1512.47</v>
      </c>
      <c r="P18" s="9">
        <f>1907.89-320.82</f>
        <v>1587.0700000000002</v>
      </c>
      <c r="Q18" s="9">
        <f>1873.54-321.32</f>
        <v>1552.22</v>
      </c>
      <c r="R18" s="9">
        <f>1931.95-317.78</f>
        <v>1614.17</v>
      </c>
      <c r="S18" s="9">
        <f>2236-683.65</f>
        <v>1552.35</v>
      </c>
      <c r="T18" s="9">
        <f>1800.75-293.77</f>
        <v>1506.98</v>
      </c>
      <c r="U18" s="9">
        <f>2102.1-497.51</f>
        <v>1604.59</v>
      </c>
      <c r="V18" s="9">
        <f>1915.14-305.41</f>
        <v>1609.73</v>
      </c>
      <c r="W18" s="16">
        <f>2183.18-587.68</f>
        <v>1595.5</v>
      </c>
      <c r="X18" s="53">
        <f t="shared" si="2"/>
        <v>18735.68</v>
      </c>
      <c r="Y18" s="58">
        <f t="shared" si="3"/>
        <v>145337.97000000006</v>
      </c>
    </row>
    <row r="19" spans="1:25" ht="18" customHeight="1" thickBot="1">
      <c r="A19" s="38" t="s">
        <v>51</v>
      </c>
      <c r="B19" s="79" t="s">
        <v>3</v>
      </c>
      <c r="C19" s="69">
        <v>967.77</v>
      </c>
      <c r="D19" s="69">
        <v>1826.47</v>
      </c>
      <c r="E19" s="61">
        <v>1263.16</v>
      </c>
      <c r="F19" s="61">
        <v>1128</v>
      </c>
      <c r="G19" s="61">
        <v>1128</v>
      </c>
      <c r="H19" s="61">
        <v>1128.01</v>
      </c>
      <c r="I19" s="61">
        <v>1128</v>
      </c>
      <c r="J19" s="61">
        <v>1128</v>
      </c>
      <c r="K19" s="61">
        <v>1128.01</v>
      </c>
      <c r="L19" s="62">
        <v>94</v>
      </c>
      <c r="M19" s="63">
        <v>87.87</v>
      </c>
      <c r="N19" s="63">
        <f>87.87</f>
        <v>87.87</v>
      </c>
      <c r="O19" s="63">
        <v>87.87</v>
      </c>
      <c r="P19" s="63">
        <v>87.87</v>
      </c>
      <c r="Q19" s="63">
        <v>87.87</v>
      </c>
      <c r="R19" s="63">
        <v>87.87</v>
      </c>
      <c r="S19" s="63">
        <v>87.87</v>
      </c>
      <c r="T19" s="63">
        <v>87.87</v>
      </c>
      <c r="U19" s="63">
        <v>87.87</v>
      </c>
      <c r="V19" s="63">
        <v>87.87</v>
      </c>
      <c r="W19" s="64">
        <v>87.87</v>
      </c>
      <c r="X19" s="54">
        <f t="shared" si="2"/>
        <v>1060.5700000000002</v>
      </c>
      <c r="Y19" s="57">
        <f t="shared" si="3"/>
        <v>11885.990000000009</v>
      </c>
    </row>
    <row r="20" spans="1:25" ht="15" customHeight="1" thickBot="1">
      <c r="A20" s="38"/>
      <c r="B20" s="42" t="s">
        <v>54</v>
      </c>
      <c r="C20" s="70"/>
      <c r="D20" s="70"/>
      <c r="E20" s="42"/>
      <c r="F20" s="42"/>
      <c r="G20" s="59">
        <f aca="true" t="shared" si="4" ref="G20:L20">G8*5%</f>
        <v>1493.7120000000002</v>
      </c>
      <c r="H20" s="59">
        <f t="shared" si="4"/>
        <v>1493.7120000000002</v>
      </c>
      <c r="I20" s="59">
        <f t="shared" si="4"/>
        <v>1493.7120000000002</v>
      </c>
      <c r="J20" s="59">
        <f t="shared" si="4"/>
        <v>1493.7120000000002</v>
      </c>
      <c r="K20" s="59">
        <f t="shared" si="4"/>
        <v>1493.7120000000002</v>
      </c>
      <c r="L20" s="81">
        <f t="shared" si="4"/>
        <v>116.358</v>
      </c>
      <c r="M20" s="59">
        <f aca="true" t="shared" si="5" ref="M20:W20">M8*5%</f>
        <v>116.358</v>
      </c>
      <c r="N20" s="81">
        <f t="shared" si="5"/>
        <v>116.358</v>
      </c>
      <c r="O20" s="59">
        <f t="shared" si="5"/>
        <v>116.358</v>
      </c>
      <c r="P20" s="81">
        <f t="shared" si="5"/>
        <v>116.358</v>
      </c>
      <c r="Q20" s="59">
        <f t="shared" si="5"/>
        <v>116.358</v>
      </c>
      <c r="R20" s="81">
        <f t="shared" si="5"/>
        <v>116.358</v>
      </c>
      <c r="S20" s="59">
        <f t="shared" si="5"/>
        <v>116.358</v>
      </c>
      <c r="T20" s="81">
        <f t="shared" si="5"/>
        <v>116.358</v>
      </c>
      <c r="U20" s="59">
        <f t="shared" si="5"/>
        <v>116.358</v>
      </c>
      <c r="V20" s="81">
        <f t="shared" si="5"/>
        <v>116.358</v>
      </c>
      <c r="W20" s="59">
        <f t="shared" si="5"/>
        <v>116.358</v>
      </c>
      <c r="X20" s="59">
        <f t="shared" si="2"/>
        <v>1396.2959999999996</v>
      </c>
      <c r="Y20" s="58"/>
    </row>
    <row r="21" spans="1:25" ht="14.25" customHeight="1" thickBot="1">
      <c r="A21" s="38" t="s">
        <v>38</v>
      </c>
      <c r="B21" s="60" t="s">
        <v>48</v>
      </c>
      <c r="C21" s="70"/>
      <c r="D21" s="70"/>
      <c r="E21" s="42"/>
      <c r="F21" s="42"/>
      <c r="G21" s="42"/>
      <c r="H21" s="42"/>
      <c r="I21" s="42"/>
      <c r="J21" s="59">
        <f aca="true" t="shared" si="6" ref="J21:W21">SUM(J8-J9)-J20</f>
        <v>-2220.521999999998</v>
      </c>
      <c r="K21" s="59">
        <f>SUM(K8-K9)-K20</f>
        <v>-3211.1119999999983</v>
      </c>
      <c r="L21" s="81">
        <f t="shared" si="6"/>
        <v>228.7620000000001</v>
      </c>
      <c r="M21" s="59">
        <f t="shared" si="6"/>
        <v>327.77199999999965</v>
      </c>
      <c r="N21" s="80">
        <f t="shared" si="6"/>
        <v>384.15199999999976</v>
      </c>
      <c r="O21" s="80">
        <f t="shared" si="6"/>
        <v>-34.21800000000013</v>
      </c>
      <c r="P21" s="81">
        <f t="shared" si="6"/>
        <v>302.9119999999995</v>
      </c>
      <c r="Q21" s="59">
        <f t="shared" si="6"/>
        <v>337.2619999999999</v>
      </c>
      <c r="R21" s="81">
        <f t="shared" si="6"/>
        <v>278.8519999999996</v>
      </c>
      <c r="S21" s="59">
        <f t="shared" si="6"/>
        <v>-25.19800000000015</v>
      </c>
      <c r="T21" s="81">
        <f t="shared" si="6"/>
        <v>410.05199999999985</v>
      </c>
      <c r="U21" s="59">
        <f t="shared" si="6"/>
        <v>108.70199999999994</v>
      </c>
      <c r="V21" s="81">
        <f t="shared" si="6"/>
        <v>295.662</v>
      </c>
      <c r="W21" s="59">
        <f t="shared" si="6"/>
        <v>27.622000000000014</v>
      </c>
      <c r="X21" s="59">
        <f t="shared" si="2"/>
        <v>2642.3339999999976</v>
      </c>
      <c r="Y21" s="58"/>
    </row>
    <row r="22" spans="1:25" ht="25.5" customHeight="1" thickBot="1">
      <c r="A22" s="84" t="s">
        <v>39</v>
      </c>
      <c r="B22" s="92" t="s">
        <v>22</v>
      </c>
      <c r="C22" s="93">
        <v>5687.56</v>
      </c>
      <c r="D22" s="94">
        <f>SUM(D8-D9)</f>
        <v>3730.409999999996</v>
      </c>
      <c r="E22" s="86">
        <f>SUM(E8-E9)</f>
        <v>3775.8499999999985</v>
      </c>
      <c r="F22" s="86">
        <f>SUM(F8-F9)</f>
        <v>1801.0099999999984</v>
      </c>
      <c r="G22" s="95">
        <f aca="true" t="shared" si="7" ref="G22:L22">SUM(G8-G9)-G20</f>
        <v>-614.4520000000018</v>
      </c>
      <c r="H22" s="95">
        <f t="shared" si="7"/>
        <v>-1969.611999999998</v>
      </c>
      <c r="I22" s="95">
        <f t="shared" si="7"/>
        <v>-3943.171999999996</v>
      </c>
      <c r="J22" s="95">
        <f t="shared" si="7"/>
        <v>-2220.521999999998</v>
      </c>
      <c r="K22" s="95">
        <f t="shared" si="7"/>
        <v>-3211.1119999999983</v>
      </c>
      <c r="L22" s="96">
        <f t="shared" si="7"/>
        <v>228.7620000000001</v>
      </c>
      <c r="M22" s="95">
        <f>SUM(M21+L22)</f>
        <v>556.5339999999998</v>
      </c>
      <c r="N22" s="96">
        <f aca="true" t="shared" si="8" ref="N22:W22">SUM(N21+M22)</f>
        <v>940.6859999999995</v>
      </c>
      <c r="O22" s="97">
        <f t="shared" si="8"/>
        <v>906.4679999999994</v>
      </c>
      <c r="P22" s="96">
        <f t="shared" si="8"/>
        <v>1209.379999999999</v>
      </c>
      <c r="Q22" s="95">
        <f t="shared" si="8"/>
        <v>1546.641999999999</v>
      </c>
      <c r="R22" s="96">
        <f t="shared" si="8"/>
        <v>1825.4939999999986</v>
      </c>
      <c r="S22" s="95">
        <f t="shared" si="8"/>
        <v>1800.2959999999985</v>
      </c>
      <c r="T22" s="96">
        <f t="shared" si="8"/>
        <v>2210.347999999998</v>
      </c>
      <c r="U22" s="95">
        <f t="shared" si="8"/>
        <v>2319.049999999998</v>
      </c>
      <c r="V22" s="96">
        <f t="shared" si="8"/>
        <v>2614.7119999999977</v>
      </c>
      <c r="W22" s="95">
        <f t="shared" si="8"/>
        <v>2642.3339999999976</v>
      </c>
      <c r="X22" s="86"/>
      <c r="Y22" s="98"/>
    </row>
    <row r="23" spans="1:25" ht="24" customHeight="1" thickBot="1">
      <c r="A23" s="38" t="s">
        <v>40</v>
      </c>
      <c r="B23" s="34" t="s">
        <v>23</v>
      </c>
      <c r="C23" s="42">
        <v>5687.56</v>
      </c>
      <c r="D23" s="75">
        <f>SUM(D8-D9,C23)</f>
        <v>9417.969999999998</v>
      </c>
      <c r="E23" s="53">
        <f>SUM(E8-E9,D23)</f>
        <v>13193.819999999996</v>
      </c>
      <c r="F23" s="53">
        <f>SUM(F8-F9,E23)</f>
        <v>14994.829999999994</v>
      </c>
      <c r="G23" s="59">
        <f aca="true" t="shared" si="9" ref="G23:L23">SUM(G22+F23)</f>
        <v>14380.377999999993</v>
      </c>
      <c r="H23" s="59">
        <f t="shared" si="9"/>
        <v>12410.765999999996</v>
      </c>
      <c r="I23" s="59">
        <f t="shared" si="9"/>
        <v>8467.594000000001</v>
      </c>
      <c r="J23" s="59">
        <f t="shared" si="9"/>
        <v>6247.072000000003</v>
      </c>
      <c r="K23" s="59">
        <f t="shared" si="9"/>
        <v>3035.9600000000046</v>
      </c>
      <c r="L23" s="59">
        <f t="shared" si="9"/>
        <v>3264.7220000000048</v>
      </c>
      <c r="M23" s="83">
        <f>SUM(M21+L23)</f>
        <v>3592.4940000000042</v>
      </c>
      <c r="N23" s="82">
        <f aca="true" t="shared" si="10" ref="N23:V23">SUM(N21+M23)</f>
        <v>3976.646000000004</v>
      </c>
      <c r="O23" s="59">
        <f t="shared" si="10"/>
        <v>3942.4280000000035</v>
      </c>
      <c r="P23" s="82">
        <f>SUM(P21+O23)</f>
        <v>4245.340000000003</v>
      </c>
      <c r="Q23" s="59">
        <f t="shared" si="10"/>
        <v>4582.602000000003</v>
      </c>
      <c r="R23" s="82">
        <f t="shared" si="10"/>
        <v>4861.454000000002</v>
      </c>
      <c r="S23" s="83">
        <f t="shared" si="10"/>
        <v>4836.256000000002</v>
      </c>
      <c r="T23" s="82">
        <f t="shared" si="10"/>
        <v>5246.308000000002</v>
      </c>
      <c r="U23" s="83">
        <f t="shared" si="10"/>
        <v>5355.010000000002</v>
      </c>
      <c r="V23" s="82">
        <f t="shared" si="10"/>
        <v>5650.672000000002</v>
      </c>
      <c r="W23" s="83">
        <f>SUM(W21+V23)</f>
        <v>5678.294000000003</v>
      </c>
      <c r="X23" s="53"/>
      <c r="Y23" s="28"/>
    </row>
    <row r="24" spans="1:25" ht="23.25" hidden="1" thickBot="1">
      <c r="A24" s="38" t="s">
        <v>40</v>
      </c>
      <c r="B24" s="42" t="s">
        <v>7</v>
      </c>
      <c r="C24" s="70"/>
      <c r="D24" s="42"/>
      <c r="E24" s="72"/>
      <c r="F24" s="72"/>
      <c r="G24" s="72"/>
      <c r="H24" s="72"/>
      <c r="I24" s="72"/>
      <c r="J24" s="72"/>
      <c r="K24" s="72"/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7"/>
      <c r="X24" s="53"/>
      <c r="Y24" s="21"/>
    </row>
    <row r="25" spans="1:25" ht="15" customHeight="1" hidden="1" thickBot="1">
      <c r="A25" s="38" t="s">
        <v>41</v>
      </c>
      <c r="B25" s="35" t="s">
        <v>24</v>
      </c>
      <c r="C25" s="65"/>
      <c r="D25" s="43"/>
      <c r="E25" s="73"/>
      <c r="F25" s="73"/>
      <c r="G25" s="73"/>
      <c r="H25" s="73"/>
      <c r="I25" s="73"/>
      <c r="J25" s="73"/>
      <c r="K25" s="73"/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8"/>
      <c r="X25" s="55"/>
      <c r="Y25" s="20"/>
    </row>
    <row r="26" spans="1:25" ht="24" customHeight="1" hidden="1" thickBot="1">
      <c r="A26" s="39" t="s">
        <v>42</v>
      </c>
      <c r="B26" s="36" t="s">
        <v>46</v>
      </c>
      <c r="C26" s="71"/>
      <c r="D26" s="44"/>
      <c r="E26" s="74"/>
      <c r="F26" s="74"/>
      <c r="G26" s="74"/>
      <c r="H26" s="74"/>
      <c r="I26" s="74"/>
      <c r="J26" s="74"/>
      <c r="K26" s="7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>SUM(W22-W24)</f>
        <v>2642.3339999999976</v>
      </c>
      <c r="X26" s="56"/>
      <c r="Y26" s="27"/>
    </row>
    <row r="27" spans="1:25" ht="24" customHeight="1" hidden="1" thickBot="1">
      <c r="A27" s="39" t="s">
        <v>45</v>
      </c>
      <c r="B27" s="36" t="s">
        <v>25</v>
      </c>
      <c r="C27" s="71"/>
      <c r="D27" s="44"/>
      <c r="E27" s="74"/>
      <c r="F27" s="74"/>
      <c r="G27" s="74"/>
      <c r="H27" s="74"/>
      <c r="I27" s="74"/>
      <c r="J27" s="74"/>
      <c r="K27" s="7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>
        <f>SUM(W23-W24)</f>
        <v>5678.294000000003</v>
      </c>
      <c r="X27" s="56"/>
      <c r="Y27" s="27"/>
    </row>
    <row r="28" spans="2:25" ht="11.25" customHeight="1" hidden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/>
    </row>
    <row r="29" ht="12.75" hidden="1"/>
    <row r="30" ht="1.5" customHeight="1" hidden="1"/>
    <row r="31" ht="12.75" hidden="1"/>
    <row r="32" ht="12.75" hidden="1"/>
    <row r="33" ht="12.75">
      <c r="B33" t="s">
        <v>61</v>
      </c>
    </row>
    <row r="37" ht="12.75" customHeight="1"/>
    <row r="38" ht="12.75" customHeight="1"/>
  </sheetData>
  <sheetProtection/>
  <mergeCells count="5">
    <mergeCell ref="B4:Y4"/>
    <mergeCell ref="B5:Y5"/>
    <mergeCell ref="B3:Y3"/>
    <mergeCell ref="B1:N1"/>
    <mergeCell ref="B2:W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2020-02-20T05:28:07Z</cp:lastPrinted>
  <dcterms:created xsi:type="dcterms:W3CDTF">2011-06-16T11:06:26Z</dcterms:created>
  <dcterms:modified xsi:type="dcterms:W3CDTF">2020-02-20T05:28:13Z</dcterms:modified>
  <cp:category/>
  <cp:version/>
  <cp:contentType/>
  <cp:contentStatus/>
</cp:coreProperties>
</file>