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<sst xmlns="http://schemas.openxmlformats.org/spreadsheetml/2006/main" count="78" uniqueCount="77">
  <si>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</si>
  <si>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</si>
  <si>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</si>
  <si>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</si>
  <si>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</si>
  <si>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</si>
  <si>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</si>
  <si>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</si>
  <si>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</si>
  <si>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</si>
  <si>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</si>
  <si>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</si>
  <si>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</si>
  <si>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</si>
  <si>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</si>
  <si>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</si>
  <si>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</si>
  <si>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</si>
  <si>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</si>
  <si>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</si>
  <si>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</si>
  <si>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</si>
  <si>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</si>
  <si>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</si>
  <si>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</si>
  <si>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</si>
  <si>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</si>
  <si>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</si>
  <si>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</si>
  <si>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</si>
  <si>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</si>
  <si>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</si>
  <si>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</si>
  <si>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</si>
  <si>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</si>
  <si>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</si>
  <si>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</si>
  <si>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</si>
  <si>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</si>
  <si>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</si>
  <si>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</si>
  <si>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</si>
  <si>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</si>
  <si>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</si>
  <si>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</si>
  <si>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</si>
  <si>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23 Сентября д.2</t>
  </si>
  <si>
    <t>Итого за 2011 г</t>
  </si>
  <si>
    <t>Результат за месяц</t>
  </si>
  <si>
    <t>Благоустройство территории</t>
  </si>
  <si>
    <t>Итого за 2012 г</t>
  </si>
  <si>
    <t>4.12</t>
  </si>
  <si>
    <t>4.13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</si>
  <si>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</si>
  <si>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</si>
  <si>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</si>
  <si>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</si>
  <si>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</si>
  <si>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Проверка вент.каналов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</si>
  <si>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</si>
  <si>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</si>
  <si>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</si>
  <si>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</si>
  <si>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</si>
  <si>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</si>
  <si>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</si>
  <si>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</si>
  <si>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</si>
  <si>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</si>
  <si>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</si>
  <si>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Дератизация</t>
  </si>
  <si>
    <t>Итого за 2018 г</t>
  </si>
  <si>
    <t>Итого за 2019 г</t>
  </si>
  <si>
    <t>Всего за 2010-2019</t>
  </si>
  <si>
    <t>Вывоз ТБО (Утилизация)</t>
  </si>
  <si>
    <t>Дом по ул.23 Сентября д.2 вступил в ООО "Наш дом" с февраля 2010 года       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</si>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</sst>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2" fontId="25" fillId="0" borderId="27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6" xfId="0" applyFont="1" applyBorder="1" applyAlignment="1">
      <alignment wrapText="1"/>
    </xf>
    <xf numFmtId="0" fontId="27" fillId="0" borderId="47" xfId="0" applyFont="1" applyBorder="1" applyAlignment="1">
      <alignment/>
    </xf>
    <xf numFmtId="0" fontId="27" fillId="0" borderId="46" xfId="0" applyFont="1" applyBorder="1" applyAlignment="1">
      <alignment/>
    </xf>
    <xf numFmtId="2" fontId="27" fillId="0" borderId="46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PageLayoutView="0" workbookViewId="0" topLeftCell="A1">
      <selection activeCell="B2" sqref="B2:X2"/>
    </sheetView>
  </sheetViews>
  <sheetFormatPr defaultColWidth="9.00390625" defaultRowHeight="12.75"/>
  <cols>
    <col min="1" max="1" width="3.875" style="26" customWidth="1"/>
    <col min="2" max="2" width="19.25390625" style="0" customWidth="1"/>
    <col min="3" max="3" width="7.875" style="0" hidden="1" customWidth="1"/>
    <col min="4" max="4" width="8.125" style="0" hidden="1" customWidth="1"/>
    <col min="5" max="5" width="10.25390625" style="0" hidden="1" customWidth="1"/>
    <col min="6" max="6" width="9.625" style="0" hidden="1" customWidth="1"/>
    <col min="7" max="7" width="9.00390625" style="0" hidden="1" customWidth="1"/>
    <col min="8" max="8" width="8.875" style="0" hidden="1" customWidth="1"/>
    <col min="9" max="9" width="9.625" style="0" hidden="1" customWidth="1"/>
    <col min="10" max="10" width="8.875" style="0" hidden="1" customWidth="1"/>
    <col min="11" max="11" width="9.625" style="0" hidden="1" customWidth="1"/>
    <col min="12" max="12" width="8.75390625" style="0" customWidth="1"/>
    <col min="13" max="13" width="8.375" style="0" customWidth="1"/>
    <col min="14" max="14" width="8.625" style="0" customWidth="1"/>
    <col min="15" max="15" width="7.875" style="0" customWidth="1"/>
    <col min="16" max="17" width="8.25390625" style="0" customWidth="1"/>
    <col min="18" max="18" width="8.75390625" style="0" customWidth="1"/>
    <col min="19" max="19" width="8.625" style="0" customWidth="1"/>
    <col min="20" max="20" width="8.75390625" style="0" customWidth="1"/>
    <col min="21" max="21" width="8.625" style="0" customWidth="1"/>
    <col min="22" max="22" width="9.00390625" style="0" customWidth="1"/>
    <col min="23" max="23" width="8.375" style="0" customWidth="1"/>
    <col min="24" max="24" width="8.75390625" style="0" customWidth="1"/>
    <col min="25" max="25" width="10.25390625" style="0" customWidth="1"/>
  </cols>
  <sheetData>
    <row r="1" spans="2:30" ht="12.75" customHeight="1">
      <c r="B1" s="93" t="s">
        <v>76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3" t="s">
        <v>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4"/>
      <c r="X2" s="94"/>
      <c r="Y2" s="4"/>
      <c r="Z2" s="4"/>
      <c r="AA2" s="4"/>
      <c r="AB2" s="4"/>
      <c r="AC2" s="4"/>
      <c r="AD2" s="4"/>
    </row>
    <row r="3" spans="2:30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</row>
    <row r="4" spans="2:30" ht="15" customHeight="1">
      <c r="B4" s="91" t="s">
        <v>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2"/>
      <c r="AA4" s="2"/>
      <c r="AB4" s="2"/>
      <c r="AC4" s="2"/>
      <c r="AD4" s="2"/>
    </row>
    <row r="5" spans="2:30" ht="16.5" customHeight="1" thickBot="1">
      <c r="B5" s="91" t="s">
        <v>46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2"/>
      <c r="AA5" s="2"/>
      <c r="AB5" s="2"/>
      <c r="AC5" s="2"/>
      <c r="AD5" s="2"/>
    </row>
    <row r="6" spans="1:30" ht="33.75" customHeight="1" thickBot="1">
      <c r="A6" s="35" t="s">
        <v>25</v>
      </c>
      <c r="B6" s="27" t="s">
        <v>5</v>
      </c>
      <c r="C6" s="38" t="s">
        <v>43</v>
      </c>
      <c r="D6" s="50" t="s">
        <v>47</v>
      </c>
      <c r="E6" s="50" t="s">
        <v>50</v>
      </c>
      <c r="F6" s="50" t="s">
        <v>53</v>
      </c>
      <c r="G6" s="50" t="s">
        <v>54</v>
      </c>
      <c r="H6" s="50" t="s">
        <v>57</v>
      </c>
      <c r="I6" s="50" t="s">
        <v>64</v>
      </c>
      <c r="J6" s="50" t="s">
        <v>65</v>
      </c>
      <c r="K6" s="50" t="s">
        <v>71</v>
      </c>
      <c r="L6" s="6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17</v>
      </c>
      <c r="U6" s="5" t="s">
        <v>18</v>
      </c>
      <c r="V6" s="5" t="s">
        <v>20</v>
      </c>
      <c r="W6" s="15" t="s">
        <v>19</v>
      </c>
      <c r="X6" s="50" t="s">
        <v>72</v>
      </c>
      <c r="Y6" s="45" t="s">
        <v>73</v>
      </c>
      <c r="Z6" s="1"/>
      <c r="AA6" s="1"/>
      <c r="AB6" s="1"/>
      <c r="AC6" s="1"/>
      <c r="AD6" s="1"/>
    </row>
    <row r="7" spans="1:25" ht="13.5" thickBot="1">
      <c r="A7" s="36" t="s">
        <v>26</v>
      </c>
      <c r="B7" s="28" t="s">
        <v>1</v>
      </c>
      <c r="C7" s="60">
        <v>129699.76</v>
      </c>
      <c r="D7" s="63">
        <v>141435.28</v>
      </c>
      <c r="E7" s="60">
        <v>140995.52</v>
      </c>
      <c r="F7" s="60">
        <v>140585.2</v>
      </c>
      <c r="G7" s="74">
        <v>140528.16</v>
      </c>
      <c r="H7" s="60">
        <v>140501.48</v>
      </c>
      <c r="I7" s="60">
        <v>140461.92</v>
      </c>
      <c r="J7" s="60">
        <v>140351.52</v>
      </c>
      <c r="K7" s="60">
        <v>140251.24</v>
      </c>
      <c r="L7" s="7">
        <v>10921.14</v>
      </c>
      <c r="M7" s="7">
        <v>10921.14</v>
      </c>
      <c r="N7" s="7">
        <v>10921.14</v>
      </c>
      <c r="O7" s="7">
        <v>10914.26</v>
      </c>
      <c r="P7" s="7">
        <v>10914.26</v>
      </c>
      <c r="Q7" s="7">
        <v>10914.26</v>
      </c>
      <c r="R7" s="7">
        <v>10914.26</v>
      </c>
      <c r="S7" s="7">
        <v>10914.26</v>
      </c>
      <c r="T7" s="7">
        <v>10914.26</v>
      </c>
      <c r="U7" s="7">
        <v>10914.26</v>
      </c>
      <c r="V7" s="7">
        <v>10914.26</v>
      </c>
      <c r="W7" s="7">
        <v>10914.26</v>
      </c>
      <c r="X7" s="51">
        <f>SUM(L7:W7)</f>
        <v>130991.75999999998</v>
      </c>
      <c r="Y7" s="56">
        <f>SUM(C7:W7)</f>
        <v>1385801.8399999999</v>
      </c>
    </row>
    <row r="8" spans="1:25" ht="13.5" thickBot="1">
      <c r="A8" s="36"/>
      <c r="B8" s="28" t="s">
        <v>66</v>
      </c>
      <c r="C8" s="74"/>
      <c r="D8" s="63"/>
      <c r="E8" s="74"/>
      <c r="F8" s="74"/>
      <c r="G8" s="74"/>
      <c r="H8" s="74"/>
      <c r="I8" s="74"/>
      <c r="J8" s="74">
        <v>13075.96</v>
      </c>
      <c r="K8" s="74">
        <v>10519.11</v>
      </c>
      <c r="L8" s="7">
        <f>61.55+54.46</f>
        <v>116.00999999999999</v>
      </c>
      <c r="M8" s="7">
        <f>61.55+54.46</f>
        <v>116.00999999999999</v>
      </c>
      <c r="N8" s="7">
        <f>61.55+54.46</f>
        <v>116.00999999999999</v>
      </c>
      <c r="O8" s="7">
        <f>61.55+54.46</f>
        <v>116.00999999999999</v>
      </c>
      <c r="P8" s="7">
        <f>61.55+54.44</f>
        <v>115.99</v>
      </c>
      <c r="Q8" s="7">
        <f>61.55+54.44</f>
        <v>115.99</v>
      </c>
      <c r="R8" s="8">
        <f aca="true" t="shared" si="0" ref="R8:W8">62.67+60.64</f>
        <v>123.31</v>
      </c>
      <c r="S8" s="8">
        <f t="shared" si="0"/>
        <v>123.31</v>
      </c>
      <c r="T8" s="8">
        <f t="shared" si="0"/>
        <v>123.31</v>
      </c>
      <c r="U8" s="8">
        <f t="shared" si="0"/>
        <v>123.31</v>
      </c>
      <c r="V8" s="8">
        <f t="shared" si="0"/>
        <v>123.31</v>
      </c>
      <c r="W8" s="8">
        <f t="shared" si="0"/>
        <v>123.31</v>
      </c>
      <c r="X8" s="51">
        <f>SUM(L8:W8)</f>
        <v>1435.8799999999997</v>
      </c>
      <c r="Y8" s="56">
        <f>SUM(C8:W8)</f>
        <v>25030.950000000004</v>
      </c>
    </row>
    <row r="9" spans="1:25" s="82" customFormat="1" ht="13.5" thickBot="1">
      <c r="A9" s="76" t="s">
        <v>27</v>
      </c>
      <c r="B9" s="77" t="s">
        <v>2</v>
      </c>
      <c r="C9" s="78">
        <f aca="true" t="shared" si="1" ref="C9:L9">SUM(C10:C24)</f>
        <v>113512.73000000001</v>
      </c>
      <c r="D9" s="79">
        <f t="shared" si="1"/>
        <v>138773.6</v>
      </c>
      <c r="E9" s="78">
        <f t="shared" si="1"/>
        <v>126417.02000000002</v>
      </c>
      <c r="F9" s="78">
        <f t="shared" si="1"/>
        <v>170448.74</v>
      </c>
      <c r="G9" s="78">
        <f t="shared" si="1"/>
        <v>132052.89</v>
      </c>
      <c r="H9" s="78">
        <f>SUM(H10:H24)</f>
        <v>144842.13999999998</v>
      </c>
      <c r="I9" s="78">
        <f>SUM(I10:I24)</f>
        <v>143431.97999999998</v>
      </c>
      <c r="J9" s="78">
        <f>SUM(J10:J24)</f>
        <v>144650.27</v>
      </c>
      <c r="K9" s="78">
        <f t="shared" si="1"/>
        <v>163023.23</v>
      </c>
      <c r="L9" s="80">
        <f t="shared" si="1"/>
        <v>9451.36</v>
      </c>
      <c r="M9" s="80">
        <f aca="true" t="shared" si="2" ref="M9:W9">SUM(M10:M24)</f>
        <v>10462.88</v>
      </c>
      <c r="N9" s="80">
        <f t="shared" si="2"/>
        <v>8876.49</v>
      </c>
      <c r="O9" s="80">
        <f t="shared" si="2"/>
        <v>9478.33</v>
      </c>
      <c r="P9" s="80">
        <f t="shared" si="2"/>
        <v>9304.92</v>
      </c>
      <c r="Q9" s="80">
        <f t="shared" si="2"/>
        <v>8958.88</v>
      </c>
      <c r="R9" s="80">
        <f t="shared" si="2"/>
        <v>9449.14</v>
      </c>
      <c r="S9" s="80">
        <f t="shared" si="2"/>
        <v>16622.54</v>
      </c>
      <c r="T9" s="80">
        <f t="shared" si="2"/>
        <v>8722.72</v>
      </c>
      <c r="U9" s="80">
        <f t="shared" si="2"/>
        <v>8967.38</v>
      </c>
      <c r="V9" s="80">
        <f t="shared" si="2"/>
        <v>9308.69</v>
      </c>
      <c r="W9" s="79">
        <f t="shared" si="2"/>
        <v>19732.24</v>
      </c>
      <c r="X9" s="78">
        <f>SUM(L9:W9)</f>
        <v>129335.57000000002</v>
      </c>
      <c r="Y9" s="81">
        <f>SUM(C9:W9)</f>
        <v>1406488.1699999997</v>
      </c>
    </row>
    <row r="10" spans="1:25" ht="14.25" customHeight="1" thickBot="1">
      <c r="A10" s="36" t="s">
        <v>28</v>
      </c>
      <c r="B10" s="30" t="s">
        <v>74</v>
      </c>
      <c r="C10" s="42">
        <v>24278.34</v>
      </c>
      <c r="D10" s="64">
        <v>28559.57</v>
      </c>
      <c r="E10" s="42">
        <v>29175.81</v>
      </c>
      <c r="F10" s="42">
        <v>35287.13</v>
      </c>
      <c r="G10" s="42">
        <v>33075.22</v>
      </c>
      <c r="H10" s="42">
        <v>34933.28</v>
      </c>
      <c r="I10" s="42">
        <v>35967.38</v>
      </c>
      <c r="J10" s="42">
        <v>33198.95</v>
      </c>
      <c r="K10" s="42">
        <v>32617.57</v>
      </c>
      <c r="L10" s="7"/>
      <c r="M10" s="8"/>
      <c r="N10" s="8"/>
      <c r="O10" s="8">
        <v>67.04</v>
      </c>
      <c r="P10" s="8">
        <v>51.22</v>
      </c>
      <c r="Q10" s="8">
        <v>21.19</v>
      </c>
      <c r="R10" s="8">
        <v>55.85</v>
      </c>
      <c r="S10" s="8">
        <v>41.25</v>
      </c>
      <c r="T10" s="8">
        <v>9.57</v>
      </c>
      <c r="U10" s="8">
        <v>36.28</v>
      </c>
      <c r="V10" s="8">
        <v>30.2</v>
      </c>
      <c r="W10" s="16">
        <v>20.46</v>
      </c>
      <c r="X10" s="53">
        <f aca="true" t="shared" si="3" ref="X10:X26">SUM(L10:W10)</f>
        <v>333.05999999999995</v>
      </c>
      <c r="Y10" s="55">
        <f aca="true" t="shared" si="4" ref="Y10:Y23">SUM(C10:W10)</f>
        <v>287426.31</v>
      </c>
    </row>
    <row r="11" spans="1:25" ht="15" customHeight="1" thickBot="1">
      <c r="A11" s="36" t="s">
        <v>29</v>
      </c>
      <c r="B11" s="31" t="s">
        <v>59</v>
      </c>
      <c r="C11" s="43">
        <v>28823.19</v>
      </c>
      <c r="D11" s="65">
        <v>13003.85</v>
      </c>
      <c r="E11" s="43">
        <v>2938.32</v>
      </c>
      <c r="F11" s="43">
        <v>5817.97</v>
      </c>
      <c r="G11" s="43">
        <v>5285.53</v>
      </c>
      <c r="H11" s="43">
        <v>2532.74</v>
      </c>
      <c r="I11" s="43">
        <v>3000</v>
      </c>
      <c r="J11" s="43">
        <v>1722.28</v>
      </c>
      <c r="K11" s="43">
        <v>1635.6</v>
      </c>
      <c r="L11" s="9"/>
      <c r="M11" s="10">
        <v>1200</v>
      </c>
      <c r="N11" s="10"/>
      <c r="O11" s="10"/>
      <c r="P11" s="10"/>
      <c r="Q11" s="10"/>
      <c r="R11" s="10"/>
      <c r="S11" s="10"/>
      <c r="T11" s="10"/>
      <c r="U11" s="10"/>
      <c r="V11" s="10"/>
      <c r="W11" s="17">
        <v>10240</v>
      </c>
      <c r="X11" s="53">
        <f>SUM(L11:W11)</f>
        <v>11440</v>
      </c>
      <c r="Y11" s="55">
        <f t="shared" si="4"/>
        <v>76199.48</v>
      </c>
    </row>
    <row r="12" spans="1:25" ht="25.5" customHeight="1" thickBot="1">
      <c r="A12" s="36" t="s">
        <v>30</v>
      </c>
      <c r="B12" s="29" t="s">
        <v>4</v>
      </c>
      <c r="C12" s="43">
        <v>3370.36</v>
      </c>
      <c r="D12" s="65">
        <v>0</v>
      </c>
      <c r="E12" s="43">
        <v>0</v>
      </c>
      <c r="F12" s="43">
        <v>6708.3</v>
      </c>
      <c r="G12" s="43"/>
      <c r="H12" s="43">
        <v>0</v>
      </c>
      <c r="I12" s="43">
        <v>7937</v>
      </c>
      <c r="J12" s="43">
        <v>0</v>
      </c>
      <c r="K12" s="43">
        <v>9418.9</v>
      </c>
      <c r="L12" s="9"/>
      <c r="M12" s="10"/>
      <c r="N12" s="10"/>
      <c r="O12" s="10"/>
      <c r="P12" s="10"/>
      <c r="Q12" s="10"/>
      <c r="R12" s="10"/>
      <c r="S12" s="10">
        <v>5636.5</v>
      </c>
      <c r="T12" s="10"/>
      <c r="U12" s="10"/>
      <c r="V12" s="10"/>
      <c r="W12" s="17"/>
      <c r="X12" s="53">
        <f t="shared" si="3"/>
        <v>5636.5</v>
      </c>
      <c r="Y12" s="55">
        <f t="shared" si="4"/>
        <v>33071.06</v>
      </c>
    </row>
    <row r="13" spans="1:25" ht="12.75" customHeight="1" thickBot="1">
      <c r="A13" s="36"/>
      <c r="B13" s="29" t="s">
        <v>58</v>
      </c>
      <c r="C13" s="43"/>
      <c r="D13" s="65"/>
      <c r="E13" s="43"/>
      <c r="F13" s="43"/>
      <c r="G13" s="43"/>
      <c r="H13" s="43">
        <v>1800</v>
      </c>
      <c r="I13" s="43">
        <v>0</v>
      </c>
      <c r="J13" s="43">
        <v>2000</v>
      </c>
      <c r="K13" s="43">
        <v>1600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3">
        <f>SUM(L13:W13)</f>
        <v>0</v>
      </c>
      <c r="Y13" s="55">
        <f>SUM(C13:W13)</f>
        <v>5400</v>
      </c>
    </row>
    <row r="14" spans="1:25" ht="15.75" customHeight="1" thickBot="1">
      <c r="A14" s="36" t="s">
        <v>31</v>
      </c>
      <c r="B14" s="31" t="s">
        <v>56</v>
      </c>
      <c r="C14" s="43">
        <v>8904.65</v>
      </c>
      <c r="D14" s="65">
        <v>11225.44</v>
      </c>
      <c r="E14" s="43">
        <v>313.91</v>
      </c>
      <c r="F14" s="43">
        <v>32056.03</v>
      </c>
      <c r="G14" s="43">
        <v>4200.12</v>
      </c>
      <c r="H14" s="43">
        <v>6349.13</v>
      </c>
      <c r="I14" s="43">
        <v>3660.7</v>
      </c>
      <c r="J14" s="43">
        <v>3243.82</v>
      </c>
      <c r="K14" s="43">
        <v>4083.45</v>
      </c>
      <c r="L14" s="9">
        <v>60</v>
      </c>
      <c r="M14" s="10">
        <v>349.7</v>
      </c>
      <c r="N14" s="10">
        <v>75</v>
      </c>
      <c r="O14" s="10">
        <v>44.8</v>
      </c>
      <c r="P14" s="10">
        <v>141.44</v>
      </c>
      <c r="Q14" s="10">
        <v>93.6</v>
      </c>
      <c r="R14" s="10">
        <v>326.88</v>
      </c>
      <c r="S14" s="10">
        <v>385</v>
      </c>
      <c r="T14" s="10">
        <v>60</v>
      </c>
      <c r="U14" s="10"/>
      <c r="V14" s="10">
        <v>60</v>
      </c>
      <c r="W14" s="17">
        <v>60</v>
      </c>
      <c r="X14" s="53">
        <f t="shared" si="3"/>
        <v>1656.42</v>
      </c>
      <c r="Y14" s="55">
        <f t="shared" si="4"/>
        <v>75693.67000000001</v>
      </c>
    </row>
    <row r="15" spans="1:25" ht="23.25" customHeight="1" thickBot="1">
      <c r="A15" s="36" t="s">
        <v>32</v>
      </c>
      <c r="B15" s="31" t="s">
        <v>49</v>
      </c>
      <c r="C15" s="43">
        <v>0</v>
      </c>
      <c r="D15" s="65">
        <v>0</v>
      </c>
      <c r="E15" s="43">
        <v>256</v>
      </c>
      <c r="F15" s="43">
        <v>0</v>
      </c>
      <c r="G15" s="43">
        <v>26.66</v>
      </c>
      <c r="H15" s="43">
        <v>952.96</v>
      </c>
      <c r="I15" s="43">
        <v>843.85</v>
      </c>
      <c r="J15" s="43">
        <v>1005.06</v>
      </c>
      <c r="K15" s="43">
        <v>88</v>
      </c>
      <c r="L15" s="9">
        <v>103.67</v>
      </c>
      <c r="M15" s="10">
        <v>53.01</v>
      </c>
      <c r="N15" s="10"/>
      <c r="O15" s="10"/>
      <c r="P15" s="10"/>
      <c r="Q15" s="10"/>
      <c r="R15" s="10"/>
      <c r="S15" s="10"/>
      <c r="T15" s="10"/>
      <c r="U15" s="10"/>
      <c r="V15" s="10"/>
      <c r="W15" s="17"/>
      <c r="X15" s="53">
        <f>SUM(L15:W15)</f>
        <v>156.68</v>
      </c>
      <c r="Y15" s="55">
        <f>SUM(C15:W15)</f>
        <v>3329.2100000000005</v>
      </c>
    </row>
    <row r="16" spans="1:25" ht="12" customHeight="1" thickBot="1">
      <c r="A16" s="36" t="s">
        <v>33</v>
      </c>
      <c r="B16" s="31" t="s">
        <v>67</v>
      </c>
      <c r="C16" s="43">
        <v>3338.11</v>
      </c>
      <c r="D16" s="65">
        <v>9549.19</v>
      </c>
      <c r="E16" s="43">
        <v>7246.08</v>
      </c>
      <c r="F16" s="43">
        <v>0</v>
      </c>
      <c r="G16" s="43"/>
      <c r="H16" s="43">
        <v>0</v>
      </c>
      <c r="I16" s="43">
        <v>0</v>
      </c>
      <c r="J16" s="43">
        <v>12114.99</v>
      </c>
      <c r="K16" s="43">
        <v>9131.92</v>
      </c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53">
        <f t="shared" si="3"/>
        <v>0</v>
      </c>
      <c r="Y16" s="55">
        <f t="shared" si="4"/>
        <v>41380.29</v>
      </c>
    </row>
    <row r="17" spans="1:25" ht="12" customHeight="1" thickBot="1">
      <c r="A17" s="36"/>
      <c r="B17" s="31" t="s">
        <v>68</v>
      </c>
      <c r="C17" s="43"/>
      <c r="D17" s="65"/>
      <c r="E17" s="43"/>
      <c r="F17" s="43"/>
      <c r="G17" s="43"/>
      <c r="H17" s="43"/>
      <c r="I17" s="43"/>
      <c r="J17" s="43">
        <v>584.08</v>
      </c>
      <c r="K17" s="43">
        <v>736.44</v>
      </c>
      <c r="L17" s="9">
        <v>61.56</v>
      </c>
      <c r="M17" s="9">
        <v>61.56</v>
      </c>
      <c r="N17" s="9">
        <v>61.56</v>
      </c>
      <c r="O17" s="9">
        <v>61.56</v>
      </c>
      <c r="P17" s="9">
        <v>61.56</v>
      </c>
      <c r="Q17" s="9">
        <v>61.56</v>
      </c>
      <c r="R17" s="9">
        <v>61.56</v>
      </c>
      <c r="S17" s="10">
        <v>63.82</v>
      </c>
      <c r="T17" s="10">
        <v>62.69</v>
      </c>
      <c r="U17" s="10">
        <v>62.69</v>
      </c>
      <c r="V17" s="10">
        <v>62.69</v>
      </c>
      <c r="W17" s="10">
        <v>62.69</v>
      </c>
      <c r="X17" s="53">
        <f>SUM(L17:W17)</f>
        <v>745.5000000000002</v>
      </c>
      <c r="Y17" s="55">
        <f>SUM(C17:W17)</f>
        <v>2066.0199999999995</v>
      </c>
    </row>
    <row r="18" spans="1:25" ht="12" customHeight="1" thickBot="1">
      <c r="A18" s="36"/>
      <c r="B18" s="31" t="s">
        <v>69</v>
      </c>
      <c r="C18" s="43"/>
      <c r="D18" s="65"/>
      <c r="E18" s="43"/>
      <c r="F18" s="43"/>
      <c r="G18" s="43"/>
      <c r="H18" s="43"/>
      <c r="I18" s="43"/>
      <c r="J18" s="43">
        <v>376.92</v>
      </c>
      <c r="K18" s="43">
        <v>651.12</v>
      </c>
      <c r="L18" s="9">
        <v>54.49</v>
      </c>
      <c r="M18" s="9">
        <v>54.49</v>
      </c>
      <c r="N18" s="9">
        <v>54.49</v>
      </c>
      <c r="O18" s="9">
        <v>54.49</v>
      </c>
      <c r="P18" s="9">
        <v>54.49</v>
      </c>
      <c r="Q18" s="9">
        <v>54.49</v>
      </c>
      <c r="R18" s="9">
        <v>54.49</v>
      </c>
      <c r="S18" s="10">
        <v>66.77</v>
      </c>
      <c r="T18" s="10">
        <v>60.63</v>
      </c>
      <c r="U18" s="10">
        <v>60.63</v>
      </c>
      <c r="V18" s="10">
        <v>60.63</v>
      </c>
      <c r="W18" s="10">
        <v>60.63</v>
      </c>
      <c r="X18" s="53">
        <f>SUM(L18:W18)</f>
        <v>690.72</v>
      </c>
      <c r="Y18" s="55">
        <f>SUM(C18:W18)</f>
        <v>1718.7600000000004</v>
      </c>
    </row>
    <row r="19" spans="1:25" ht="15" customHeight="1" thickBot="1">
      <c r="A19" s="36" t="s">
        <v>34</v>
      </c>
      <c r="B19" s="31" t="s">
        <v>70</v>
      </c>
      <c r="C19" s="43">
        <v>437.47</v>
      </c>
      <c r="D19" s="65">
        <v>348.07</v>
      </c>
      <c r="E19" s="43">
        <v>281.79</v>
      </c>
      <c r="F19" s="43">
        <v>267.98</v>
      </c>
      <c r="G19" s="43">
        <v>285.87</v>
      </c>
      <c r="H19" s="43">
        <v>350.33</v>
      </c>
      <c r="I19" s="43">
        <v>213.09</v>
      </c>
      <c r="J19" s="43">
        <v>465.99</v>
      </c>
      <c r="K19" s="43">
        <v>436.28</v>
      </c>
      <c r="L19" s="9"/>
      <c r="M19" s="10"/>
      <c r="N19" s="10">
        <v>133.31</v>
      </c>
      <c r="O19" s="10"/>
      <c r="P19" s="10">
        <v>122.58</v>
      </c>
      <c r="Q19" s="10"/>
      <c r="R19" s="10"/>
      <c r="S19" s="10"/>
      <c r="T19" s="10">
        <v>133.86</v>
      </c>
      <c r="U19" s="10"/>
      <c r="V19" s="10">
        <v>133.69</v>
      </c>
      <c r="W19" s="17"/>
      <c r="X19" s="53">
        <f t="shared" si="3"/>
        <v>523.44</v>
      </c>
      <c r="Y19" s="55">
        <f t="shared" si="4"/>
        <v>3610.31</v>
      </c>
    </row>
    <row r="20" spans="1:25" ht="34.5" customHeight="1" thickBot="1">
      <c r="A20" s="36" t="s">
        <v>35</v>
      </c>
      <c r="B20" s="31" t="s">
        <v>60</v>
      </c>
      <c r="C20" s="43">
        <v>1745.66</v>
      </c>
      <c r="D20" s="65">
        <v>6218.34</v>
      </c>
      <c r="E20" s="43">
        <v>7906.75</v>
      </c>
      <c r="F20" s="43">
        <v>7850.82</v>
      </c>
      <c r="G20" s="43">
        <v>5186.89</v>
      </c>
      <c r="H20" s="43">
        <v>6116.15</v>
      </c>
      <c r="I20" s="43">
        <v>6466.09</v>
      </c>
      <c r="J20" s="43">
        <v>6564.12</v>
      </c>
      <c r="K20" s="43">
        <v>6893.14</v>
      </c>
      <c r="L20" s="9">
        <v>555.02</v>
      </c>
      <c r="M20" s="10">
        <v>581.79</v>
      </c>
      <c r="N20" s="10">
        <v>461.95</v>
      </c>
      <c r="O20" s="10">
        <v>552.9</v>
      </c>
      <c r="P20" s="10">
        <v>459.96</v>
      </c>
      <c r="Q20" s="10">
        <v>352.67</v>
      </c>
      <c r="R20" s="10">
        <v>368.6</v>
      </c>
      <c r="S20" s="10">
        <v>312.42</v>
      </c>
      <c r="T20" s="10">
        <v>351.29</v>
      </c>
      <c r="U20" s="10">
        <v>727.44</v>
      </c>
      <c r="V20" s="10">
        <v>459.98</v>
      </c>
      <c r="W20" s="17">
        <v>391.35</v>
      </c>
      <c r="X20" s="53">
        <f t="shared" si="3"/>
        <v>5575.370000000001</v>
      </c>
      <c r="Y20" s="55">
        <f>SUM(C20:W20)</f>
        <v>60523.329999999994</v>
      </c>
    </row>
    <row r="21" spans="1:25" ht="21.75" customHeight="1" thickBot="1">
      <c r="A21" s="36" t="s">
        <v>36</v>
      </c>
      <c r="B21" s="31" t="s">
        <v>61</v>
      </c>
      <c r="C21" s="43">
        <v>3085.82</v>
      </c>
      <c r="D21" s="65">
        <v>3387.57</v>
      </c>
      <c r="E21" s="43">
        <v>1127.78</v>
      </c>
      <c r="F21" s="43">
        <v>717.69</v>
      </c>
      <c r="G21" s="43">
        <v>1560.34</v>
      </c>
      <c r="H21" s="43">
        <v>1054.04</v>
      </c>
      <c r="I21" s="43">
        <v>919.88</v>
      </c>
      <c r="J21" s="43">
        <v>718.01</v>
      </c>
      <c r="K21" s="43">
        <v>695.28</v>
      </c>
      <c r="L21" s="9">
        <v>43.91</v>
      </c>
      <c r="M21" s="10">
        <v>37.86</v>
      </c>
      <c r="N21" s="10">
        <v>32.99</v>
      </c>
      <c r="O21" s="10">
        <v>38.37</v>
      </c>
      <c r="P21" s="10">
        <v>4.05</v>
      </c>
      <c r="Q21" s="10">
        <v>57.5</v>
      </c>
      <c r="R21" s="10">
        <v>64.49</v>
      </c>
      <c r="S21" s="10">
        <v>75.12</v>
      </c>
      <c r="T21" s="10">
        <v>111.64</v>
      </c>
      <c r="U21" s="10">
        <v>27.61</v>
      </c>
      <c r="V21" s="10">
        <v>101.89</v>
      </c>
      <c r="W21" s="17">
        <v>35.86</v>
      </c>
      <c r="X21" s="53">
        <f t="shared" si="3"/>
        <v>631.2900000000001</v>
      </c>
      <c r="Y21" s="55">
        <f t="shared" si="4"/>
        <v>13897.700000000003</v>
      </c>
    </row>
    <row r="22" spans="1:25" ht="36" customHeight="1" thickBot="1">
      <c r="A22" s="36" t="s">
        <v>37</v>
      </c>
      <c r="B22" s="31" t="s">
        <v>62</v>
      </c>
      <c r="C22" s="43">
        <v>1461.33</v>
      </c>
      <c r="D22" s="65">
        <v>5469.08</v>
      </c>
      <c r="E22" s="43">
        <v>5261.62</v>
      </c>
      <c r="F22" s="43">
        <v>7040.59</v>
      </c>
      <c r="G22" s="43">
        <v>6083.43</v>
      </c>
      <c r="H22" s="43">
        <v>7862.56</v>
      </c>
      <c r="I22" s="43">
        <v>6728.46</v>
      </c>
      <c r="J22" s="43">
        <v>7081.61</v>
      </c>
      <c r="K22" s="43">
        <v>7751.46</v>
      </c>
      <c r="L22" s="9">
        <f>27.41+265.59+327.13</f>
        <v>620.13</v>
      </c>
      <c r="M22" s="10">
        <f>25.84+370.03+317.12</f>
        <v>712.99</v>
      </c>
      <c r="N22" s="10">
        <f>330.73+22.47+246.71</f>
        <v>599.9100000000001</v>
      </c>
      <c r="O22" s="10">
        <f>24.02+272.59+875.86</f>
        <v>1172.47</v>
      </c>
      <c r="P22" s="10">
        <f>23.44+300.99+237.38</f>
        <v>561.81</v>
      </c>
      <c r="Q22" s="10">
        <f>27.25+209.49+420.32</f>
        <v>657.06</v>
      </c>
      <c r="R22" s="10">
        <f>26.19+354.81+191.43</f>
        <v>572.4300000000001</v>
      </c>
      <c r="S22" s="10">
        <f>24+218.1+305.15</f>
        <v>547.25</v>
      </c>
      <c r="T22" s="10">
        <f>17.46+193.97+277.86</f>
        <v>489.29</v>
      </c>
      <c r="U22" s="10">
        <f>17.7+310.73+789.54</f>
        <v>1117.97</v>
      </c>
      <c r="V22" s="10">
        <f>19.57+195.39+203.35</f>
        <v>418.30999999999995</v>
      </c>
      <c r="W22" s="17">
        <f>19.52+590.91+341.32</f>
        <v>951.75</v>
      </c>
      <c r="X22" s="53">
        <f t="shared" si="3"/>
        <v>8421.37</v>
      </c>
      <c r="Y22" s="55">
        <f t="shared" si="4"/>
        <v>63161.509999999995</v>
      </c>
    </row>
    <row r="23" spans="1:25" ht="15.75" customHeight="1" thickBot="1">
      <c r="A23" s="36" t="s">
        <v>51</v>
      </c>
      <c r="B23" s="31" t="s">
        <v>7</v>
      </c>
      <c r="C23" s="43">
        <v>33823.05</v>
      </c>
      <c r="D23" s="65">
        <v>52584.49</v>
      </c>
      <c r="E23" s="43">
        <v>66112.21</v>
      </c>
      <c r="F23" s="43">
        <v>69560.91</v>
      </c>
      <c r="G23" s="43">
        <v>71177.73</v>
      </c>
      <c r="H23" s="43">
        <v>77762.99</v>
      </c>
      <c r="I23" s="43">
        <v>72624.28</v>
      </c>
      <c r="J23" s="43">
        <v>69814.16</v>
      </c>
      <c r="K23" s="43">
        <v>78709.63</v>
      </c>
      <c r="L23" s="9">
        <f>9451.36-1947.76</f>
        <v>7503.6</v>
      </c>
      <c r="M23" s="10">
        <f>10462.88-3441.43</f>
        <v>7021.449999999999</v>
      </c>
      <c r="N23" s="10">
        <f>8876.49-1811.4</f>
        <v>7065.09</v>
      </c>
      <c r="O23" s="10">
        <f>9478.33-2384.88</f>
        <v>7093.45</v>
      </c>
      <c r="P23" s="10">
        <f>9304.92-1861.59</f>
        <v>7443.33</v>
      </c>
      <c r="Q23" s="10">
        <f>8958.88-1679.07</f>
        <v>7279.8099999999995</v>
      </c>
      <c r="R23" s="10">
        <f>9449.14-1878.78</f>
        <v>7570.36</v>
      </c>
      <c r="S23" s="10">
        <f>16622.54-7542.1</f>
        <v>9080.44</v>
      </c>
      <c r="T23" s="10">
        <f>8722.72-1655.04</f>
        <v>7067.679999999999</v>
      </c>
      <c r="U23" s="10">
        <f>8967.38-2441.92</f>
        <v>6525.459999999999</v>
      </c>
      <c r="V23" s="10">
        <f>9308.69-1759.16</f>
        <v>7549.530000000001</v>
      </c>
      <c r="W23" s="17">
        <f>9492.24-2009.48</f>
        <v>7482.76</v>
      </c>
      <c r="X23" s="53">
        <f t="shared" si="3"/>
        <v>88682.95999999998</v>
      </c>
      <c r="Y23" s="55">
        <f t="shared" si="4"/>
        <v>680852.4099999999</v>
      </c>
    </row>
    <row r="24" spans="1:25" ht="13.5" customHeight="1" thickBot="1">
      <c r="A24" s="36" t="s">
        <v>52</v>
      </c>
      <c r="B24" s="32" t="s">
        <v>3</v>
      </c>
      <c r="C24" s="44">
        <v>4244.75</v>
      </c>
      <c r="D24" s="66">
        <v>8428</v>
      </c>
      <c r="E24" s="44">
        <v>5796.75</v>
      </c>
      <c r="F24" s="44">
        <v>5141.32</v>
      </c>
      <c r="G24" s="44">
        <v>5171.1</v>
      </c>
      <c r="H24" s="44">
        <v>5127.96</v>
      </c>
      <c r="I24" s="44">
        <v>5071.25</v>
      </c>
      <c r="J24" s="44">
        <v>5760.28</v>
      </c>
      <c r="K24" s="44">
        <v>8574.44</v>
      </c>
      <c r="L24" s="11">
        <f>4.41+444.57</f>
        <v>448.98</v>
      </c>
      <c r="M24" s="12">
        <f>4.1+385.93</f>
        <v>390.03000000000003</v>
      </c>
      <c r="N24" s="12">
        <f>4.12+388.07</f>
        <v>392.19</v>
      </c>
      <c r="O24" s="12">
        <f>4.25+389</f>
        <v>393.25</v>
      </c>
      <c r="P24" s="12">
        <f>4.25+400.23</f>
        <v>404.48</v>
      </c>
      <c r="Q24" s="12">
        <f>4.01+376.99</f>
        <v>381</v>
      </c>
      <c r="R24" s="12">
        <f>3.94+370.54</f>
        <v>374.48</v>
      </c>
      <c r="S24" s="12">
        <f>4.6+409.37</f>
        <v>413.97</v>
      </c>
      <c r="T24" s="12">
        <f>4.2+371.87</f>
        <v>376.07</v>
      </c>
      <c r="U24" s="12">
        <f>4.57+404.73</f>
        <v>409.3</v>
      </c>
      <c r="V24" s="12">
        <f>4.82+426.95</f>
        <v>431.77</v>
      </c>
      <c r="W24" s="19">
        <f>4.94+421.8</f>
        <v>426.74</v>
      </c>
      <c r="X24" s="53">
        <f t="shared" si="3"/>
        <v>4842.26</v>
      </c>
      <c r="Y24" s="55">
        <f>SUM(C24:W24)</f>
        <v>58158.11000000001</v>
      </c>
    </row>
    <row r="25" spans="1:25" ht="13.5" customHeight="1" thickBot="1">
      <c r="A25" s="36"/>
      <c r="B25" s="39" t="s">
        <v>55</v>
      </c>
      <c r="C25" s="68"/>
      <c r="D25" s="69"/>
      <c r="E25" s="68"/>
      <c r="F25" s="68"/>
      <c r="G25" s="70">
        <f>G7*5%</f>
        <v>7026.408</v>
      </c>
      <c r="H25" s="70">
        <f>H7*5%</f>
        <v>7025.0740000000005</v>
      </c>
      <c r="I25" s="71">
        <f>I7*5%</f>
        <v>7023.096000000001</v>
      </c>
      <c r="J25" s="71">
        <f>J7*5%</f>
        <v>7017.576</v>
      </c>
      <c r="K25" s="71">
        <f>K7*5%</f>
        <v>7012.562</v>
      </c>
      <c r="L25" s="70">
        <f>(L7+L8)*5%</f>
        <v>551.8575</v>
      </c>
      <c r="M25" s="70">
        <f aca="true" t="shared" si="5" ref="M25:W25">(M7+M8)*5%</f>
        <v>551.8575</v>
      </c>
      <c r="N25" s="70">
        <f t="shared" si="5"/>
        <v>551.8575</v>
      </c>
      <c r="O25" s="70">
        <f t="shared" si="5"/>
        <v>551.5135</v>
      </c>
      <c r="P25" s="70">
        <f t="shared" si="5"/>
        <v>551.5125</v>
      </c>
      <c r="Q25" s="70">
        <f t="shared" si="5"/>
        <v>551.5125</v>
      </c>
      <c r="R25" s="70">
        <f t="shared" si="5"/>
        <v>551.8785</v>
      </c>
      <c r="S25" s="70">
        <f t="shared" si="5"/>
        <v>551.8785</v>
      </c>
      <c r="T25" s="70">
        <f t="shared" si="5"/>
        <v>551.8785</v>
      </c>
      <c r="U25" s="70">
        <f t="shared" si="5"/>
        <v>551.8785</v>
      </c>
      <c r="V25" s="70">
        <f t="shared" si="5"/>
        <v>551.8785</v>
      </c>
      <c r="W25" s="70">
        <f t="shared" si="5"/>
        <v>551.8785</v>
      </c>
      <c r="X25" s="71">
        <f t="shared" si="3"/>
        <v>6621.381999999999</v>
      </c>
      <c r="Y25" s="59"/>
    </row>
    <row r="26" spans="1:25" ht="13.5" customHeight="1" thickBot="1">
      <c r="A26" s="36" t="s">
        <v>38</v>
      </c>
      <c r="B26" s="57" t="s">
        <v>48</v>
      </c>
      <c r="C26" s="58"/>
      <c r="D26" s="67"/>
      <c r="E26" s="58"/>
      <c r="F26" s="58"/>
      <c r="G26" s="58"/>
      <c r="H26" s="58"/>
      <c r="I26" s="58"/>
      <c r="J26" s="75">
        <f aca="true" t="shared" si="6" ref="J26:W26">SUM(J7+J8-J9)-J25</f>
        <v>1759.6339999999918</v>
      </c>
      <c r="K26" s="75">
        <f>SUM(K7+K8-K9)-K25</f>
        <v>-19265.442000000032</v>
      </c>
      <c r="L26" s="72">
        <f t="shared" si="6"/>
        <v>1033.932499999999</v>
      </c>
      <c r="M26" s="71">
        <f t="shared" si="6"/>
        <v>22.412500000000477</v>
      </c>
      <c r="N26" s="72">
        <f t="shared" si="6"/>
        <v>1608.8024999999998</v>
      </c>
      <c r="O26" s="71">
        <f t="shared" si="6"/>
        <v>1000.4265000000005</v>
      </c>
      <c r="P26" s="72">
        <f t="shared" si="6"/>
        <v>1173.8174999999999</v>
      </c>
      <c r="Q26" s="71">
        <f t="shared" si="6"/>
        <v>1519.8575000000008</v>
      </c>
      <c r="R26" s="72">
        <f t="shared" si="6"/>
        <v>1036.5515000000003</v>
      </c>
      <c r="S26" s="71">
        <f t="shared" si="6"/>
        <v>-6136.848500000001</v>
      </c>
      <c r="T26" s="72">
        <f t="shared" si="6"/>
        <v>1762.9715000000003</v>
      </c>
      <c r="U26" s="71">
        <f t="shared" si="6"/>
        <v>1518.3115000000005</v>
      </c>
      <c r="V26" s="72">
        <f t="shared" si="6"/>
        <v>1177.0014999999992</v>
      </c>
      <c r="W26" s="71">
        <f t="shared" si="6"/>
        <v>-9246.548500000003</v>
      </c>
      <c r="X26" s="71">
        <f t="shared" si="3"/>
        <v>-3529.3120000000017</v>
      </c>
      <c r="Y26" s="59"/>
    </row>
    <row r="27" spans="1:25" ht="24" customHeight="1" thickBot="1">
      <c r="A27" s="76" t="s">
        <v>39</v>
      </c>
      <c r="B27" s="83" t="s">
        <v>21</v>
      </c>
      <c r="C27" s="84">
        <v>16187.02</v>
      </c>
      <c r="D27" s="85">
        <f>SUM(D7-D9)</f>
        <v>2661.679999999993</v>
      </c>
      <c r="E27" s="86">
        <f>SUM(E7-E9)</f>
        <v>14578.49999999997</v>
      </c>
      <c r="F27" s="86">
        <f>SUM(F7-F9)</f>
        <v>-29863.53999999998</v>
      </c>
      <c r="G27" s="87">
        <f>SUM(G7-G9)-G25</f>
        <v>1448.8619999999892</v>
      </c>
      <c r="H27" s="87">
        <f>SUM(H7-H9)-H25</f>
        <v>-11365.733999999975</v>
      </c>
      <c r="I27" s="87">
        <f>SUM(I7-I9)-I25</f>
        <v>-9993.15599999997</v>
      </c>
      <c r="J27" s="88">
        <f>SUM(J7+J8-J9)-J25</f>
        <v>1759.6339999999918</v>
      </c>
      <c r="K27" s="87">
        <f>SUM(K7+K8-K9)-K25</f>
        <v>-19265.442000000032</v>
      </c>
      <c r="L27" s="89">
        <f>SUM(L7+L8-L9)-L25</f>
        <v>1033.932499999999</v>
      </c>
      <c r="M27" s="87">
        <f>SUM(M26+L27)</f>
        <v>1056.3449999999993</v>
      </c>
      <c r="N27" s="89">
        <f aca="true" t="shared" si="7" ref="N27:W27">SUM(N26+M27)</f>
        <v>2665.147499999999</v>
      </c>
      <c r="O27" s="87">
        <f t="shared" si="7"/>
        <v>3665.5739999999996</v>
      </c>
      <c r="P27" s="89">
        <f t="shared" si="7"/>
        <v>4839.3915</v>
      </c>
      <c r="Q27" s="87">
        <f t="shared" si="7"/>
        <v>6359.249000000001</v>
      </c>
      <c r="R27" s="89">
        <f t="shared" si="7"/>
        <v>7395.800500000001</v>
      </c>
      <c r="S27" s="87">
        <f t="shared" si="7"/>
        <v>1258.9520000000002</v>
      </c>
      <c r="T27" s="89">
        <f t="shared" si="7"/>
        <v>3021.923500000001</v>
      </c>
      <c r="U27" s="87">
        <f t="shared" si="7"/>
        <v>4540.2350000000015</v>
      </c>
      <c r="V27" s="89">
        <f t="shared" si="7"/>
        <v>5717.236500000001</v>
      </c>
      <c r="W27" s="87">
        <f t="shared" si="7"/>
        <v>-3529.3120000000017</v>
      </c>
      <c r="X27" s="86"/>
      <c r="Y27" s="90"/>
    </row>
    <row r="28" spans="1:25" ht="22.5" customHeight="1" thickBot="1">
      <c r="A28" s="36" t="s">
        <v>40</v>
      </c>
      <c r="B28" s="39" t="s">
        <v>22</v>
      </c>
      <c r="C28" s="39">
        <v>16187.02</v>
      </c>
      <c r="D28" s="18">
        <f>SUM(D7-D9,C28)</f>
        <v>18848.699999999993</v>
      </c>
      <c r="E28" s="53">
        <f>SUM(E7-E9,D28)</f>
        <v>33427.19999999997</v>
      </c>
      <c r="F28" s="53">
        <f>SUM(F7-F9,E28)</f>
        <v>3563.659999999989</v>
      </c>
      <c r="G28" s="71">
        <f aca="true" t="shared" si="8" ref="G28:L28">SUM(G27+F28)</f>
        <v>5012.521999999978</v>
      </c>
      <c r="H28" s="71">
        <f t="shared" si="8"/>
        <v>-6353.211999999997</v>
      </c>
      <c r="I28" s="71">
        <f t="shared" si="8"/>
        <v>-16346.367999999966</v>
      </c>
      <c r="J28" s="71">
        <f t="shared" si="8"/>
        <v>-14586.733999999975</v>
      </c>
      <c r="K28" s="71">
        <f t="shared" si="8"/>
        <v>-33852.17600000001</v>
      </c>
      <c r="L28" s="71">
        <f t="shared" si="8"/>
        <v>-32818.24350000001</v>
      </c>
      <c r="M28" s="71">
        <f>SUM(M26+L28)</f>
        <v>-32795.83100000001</v>
      </c>
      <c r="N28" s="73">
        <f aca="true" t="shared" si="9" ref="N28:V28">SUM(N26+M28)</f>
        <v>-31187.028500000015</v>
      </c>
      <c r="O28" s="71">
        <f t="shared" si="9"/>
        <v>-30186.602000000014</v>
      </c>
      <c r="P28" s="73">
        <f t="shared" si="9"/>
        <v>-29012.784500000012</v>
      </c>
      <c r="Q28" s="71">
        <f t="shared" si="9"/>
        <v>-27492.92700000001</v>
      </c>
      <c r="R28" s="73">
        <f t="shared" si="9"/>
        <v>-26456.37550000001</v>
      </c>
      <c r="S28" s="71">
        <f t="shared" si="9"/>
        <v>-32593.22400000001</v>
      </c>
      <c r="T28" s="73">
        <f t="shared" si="9"/>
        <v>-30830.25250000001</v>
      </c>
      <c r="U28" s="71">
        <f t="shared" si="9"/>
        <v>-29311.94100000001</v>
      </c>
      <c r="V28" s="73">
        <f t="shared" si="9"/>
        <v>-28134.93950000001</v>
      </c>
      <c r="W28" s="71">
        <f>SUM(W26+V28)</f>
        <v>-37381.48800000001</v>
      </c>
      <c r="X28" s="53"/>
      <c r="Y28" s="46"/>
    </row>
    <row r="29" spans="1:25" ht="10.5" customHeight="1" hidden="1" thickBot="1">
      <c r="A29" s="36" t="s">
        <v>40</v>
      </c>
      <c r="B29" s="39" t="s">
        <v>6</v>
      </c>
      <c r="C29" s="40"/>
      <c r="D29" s="40"/>
      <c r="E29" s="61"/>
      <c r="F29" s="61"/>
      <c r="G29" s="61"/>
      <c r="H29" s="61"/>
      <c r="I29" s="61"/>
      <c r="J29" s="61"/>
      <c r="K29" s="61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0"/>
      <c r="X29" s="52"/>
      <c r="Y29" s="47"/>
    </row>
    <row r="30" spans="1:25" ht="15" customHeight="1" hidden="1" thickBot="1">
      <c r="A30" s="36" t="s">
        <v>41</v>
      </c>
      <c r="B30" s="33" t="s">
        <v>23</v>
      </c>
      <c r="C30" s="40"/>
      <c r="D30" s="40"/>
      <c r="E30" s="61"/>
      <c r="F30" s="61"/>
      <c r="G30" s="61"/>
      <c r="H30" s="61"/>
      <c r="I30" s="61"/>
      <c r="J30" s="61"/>
      <c r="K30" s="61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0"/>
      <c r="X30" s="53"/>
      <c r="Y30" s="48"/>
    </row>
    <row r="31" spans="1:25" ht="24" customHeight="1" hidden="1" thickBot="1">
      <c r="A31" s="37" t="s">
        <v>42</v>
      </c>
      <c r="B31" s="34" t="s">
        <v>45</v>
      </c>
      <c r="C31" s="41"/>
      <c r="D31" s="41"/>
      <c r="E31" s="62"/>
      <c r="F31" s="62"/>
      <c r="G31" s="62"/>
      <c r="H31" s="62"/>
      <c r="I31" s="62"/>
      <c r="J31" s="62"/>
      <c r="K31" s="62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>
        <f>SUM(W27-W29)</f>
        <v>-3529.3120000000017</v>
      </c>
      <c r="X31" s="54"/>
      <c r="Y31" s="49"/>
    </row>
    <row r="32" spans="1:25" ht="23.25" customHeight="1" hidden="1" thickBot="1">
      <c r="A32" s="37" t="s">
        <v>44</v>
      </c>
      <c r="B32" s="34" t="s">
        <v>24</v>
      </c>
      <c r="C32" s="41"/>
      <c r="D32" s="41"/>
      <c r="E32" s="62"/>
      <c r="F32" s="62"/>
      <c r="G32" s="62"/>
      <c r="H32" s="62"/>
      <c r="I32" s="62"/>
      <c r="J32" s="62"/>
      <c r="K32" s="62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>
        <f>SUM(W28-W29)</f>
        <v>-37381.48800000001</v>
      </c>
      <c r="X32" s="54"/>
      <c r="Y32" s="49"/>
    </row>
    <row r="33" spans="3:25" ht="24" customHeight="1" hidden="1"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ht="12.75">
      <c r="B34" t="s">
        <v>63</v>
      </c>
    </row>
    <row r="35" ht="12.75" hidden="1"/>
    <row r="36" ht="12.75" hidden="1"/>
    <row r="37" ht="12.75" hidden="1"/>
    <row r="42" ht="12.75" customHeight="1"/>
    <row r="43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2020-02-21T06:53:13Z</cp:lastPrinted>
  <dcterms:created xsi:type="dcterms:W3CDTF">2011-06-16T11:06:26Z</dcterms:created>
  <dcterms:modified xsi:type="dcterms:W3CDTF">2020-02-21T06:53:15Z</dcterms:modified>
  <cp:category/>
  <cp:version/>
  <cp:contentType/>
  <cp:contentStatus/>
</cp:coreProperties>
</file>