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<sst xmlns="http://schemas.openxmlformats.org/spreadsheetml/2006/main" count="80" uniqueCount="79">
  <si>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</si>
  <si>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</si>
  <si>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</si>
  <si>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</si>
  <si>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</si>
  <si>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</si>
  <si>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</si>
  <si>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</si>
  <si>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</si>
  <si>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</si>
  <si>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</si>
  <si>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</si>
  <si>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</si>
  <si>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</si>
  <si>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</si>
  <si>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</si>
  <si>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</si>
  <si>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</si>
  <si>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</si>
  <si>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</si>
  <si>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</si>
  <si>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</si>
  <si>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</si>
  <si>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</si>
  <si>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</si>
  <si>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</si>
  <si>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</si>
  <si>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</si>
  <si>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</si>
  <si>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</si>
  <si>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</si>
  <si>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</si>
  <si>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</si>
  <si>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</si>
  <si>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</si>
  <si>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</si>
  <si>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</si>
  <si>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</si>
  <si>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</si>
  <si>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</si>
  <si>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</si>
  <si>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</si>
  <si>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</si>
  <si>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</si>
  <si>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</si>
  <si>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</si>
  <si>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</si>
  <si>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23 Сентября д.6</t>
  </si>
  <si>
    <t>Итого за 2011 г</t>
  </si>
  <si>
    <t>Результат за месяц</t>
  </si>
  <si>
    <t>Итого за 2012 г</t>
  </si>
  <si>
    <t>4.13</t>
  </si>
  <si>
    <t>4.14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</si>
  <si>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</si>
  <si>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</si>
  <si>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</si>
  <si>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</si>
  <si>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</si>
  <si>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Проверка вент каналов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</si>
  <si>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</si>
  <si>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</si>
  <si>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</si>
  <si>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</si>
  <si>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</si>
  <si>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</si>
  <si>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</si>
  <si>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Начислено  СОИД</t>
  </si>
  <si>
    <t>Электроэнергия СОИД</t>
  </si>
  <si>
    <t>Горячая вода СОИД</t>
  </si>
  <si>
    <t>Холодная вода СОИД</t>
  </si>
  <si>
    <t>Канализация СОИД</t>
  </si>
  <si>
    <t>Дератизация</t>
  </si>
  <si>
    <t>Благоустр. территории</t>
  </si>
  <si>
    <t>Итого за 2018 г</t>
  </si>
  <si>
    <t>Итого за 2019 г</t>
  </si>
  <si>
    <t>Всего за 2009-2019</t>
  </si>
  <si>
    <t>Вывоз ТБО (Утилизация)</t>
  </si>
  <si>
    <t>Дом по ул.23 Сентября д.6 вступил в ООО "Наш дом" с октября 2009 года                 тариф 9,2 руб  с января 2019 года тариф 8,6 руб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</si>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</sst>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7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3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23" fillId="0" borderId="34" xfId="0" applyFont="1" applyBorder="1" applyAlignment="1">
      <alignment horizontal="left" vertical="center"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2" borderId="35" xfId="0" applyFont="1" applyFill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0" fontId="23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5" xfId="0" applyFont="1" applyFill="1" applyBorder="1" applyAlignment="1">
      <alignment/>
    </xf>
    <xf numFmtId="0" fontId="21" fillId="0" borderId="31" xfId="0" applyFont="1" applyBorder="1" applyAlignment="1">
      <alignment/>
    </xf>
    <xf numFmtId="0" fontId="21" fillId="0" borderId="40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0" fontId="26" fillId="0" borderId="36" xfId="0" applyFont="1" applyBorder="1" applyAlignment="1">
      <alignment wrapText="1"/>
    </xf>
    <xf numFmtId="0" fontId="26" fillId="0" borderId="31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2" fontId="20" fillId="0" borderId="26" xfId="0" applyNumberFormat="1" applyFont="1" applyBorder="1" applyAlignment="1">
      <alignment/>
    </xf>
    <xf numFmtId="2" fontId="20" fillId="0" borderId="42" xfId="0" applyNumberFormat="1" applyFont="1" applyBorder="1" applyAlignment="1">
      <alignment/>
    </xf>
    <xf numFmtId="0" fontId="19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0" fontId="27" fillId="0" borderId="31" xfId="0" applyFont="1" applyBorder="1" applyAlignment="1">
      <alignment/>
    </xf>
    <xf numFmtId="2" fontId="27" fillId="0" borderId="26" xfId="0" applyNumberFormat="1" applyFont="1" applyBorder="1" applyAlignment="1">
      <alignment/>
    </xf>
    <xf numFmtId="2" fontId="21" fillId="0" borderId="22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6" fillId="0" borderId="49" xfId="0" applyFont="1" applyBorder="1" applyAlignment="1">
      <alignment wrapText="1"/>
    </xf>
    <xf numFmtId="2" fontId="21" fillId="0" borderId="22" xfId="0" applyNumberFormat="1" applyFont="1" applyBorder="1" applyAlignment="1">
      <alignment/>
    </xf>
    <xf numFmtId="2" fontId="21" fillId="0" borderId="50" xfId="0" applyNumberFormat="1" applyFont="1" applyBorder="1" applyAlignment="1">
      <alignment horizontal="right" wrapText="1"/>
    </xf>
    <xf numFmtId="2" fontId="21" fillId="0" borderId="51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8" fillId="0" borderId="22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6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2" xfId="0" applyFont="1" applyBorder="1" applyAlignment="1">
      <alignment wrapText="1"/>
    </xf>
    <xf numFmtId="0" fontId="28" fillId="0" borderId="52" xfId="0" applyFont="1" applyBorder="1" applyAlignment="1">
      <alignment wrapText="1"/>
    </xf>
    <xf numFmtId="0" fontId="28" fillId="0" borderId="53" xfId="0" applyFont="1" applyBorder="1" applyAlignment="1">
      <alignment wrapText="1"/>
    </xf>
    <xf numFmtId="0" fontId="28" fillId="0" borderId="52" xfId="0" applyFont="1" applyBorder="1" applyAlignment="1">
      <alignment/>
    </xf>
    <xf numFmtId="0" fontId="28" fillId="0" borderId="53" xfId="0" applyFont="1" applyBorder="1" applyAlignment="1">
      <alignment/>
    </xf>
    <xf numFmtId="2" fontId="28" fillId="0" borderId="52" xfId="0" applyNumberFormat="1" applyFont="1" applyBorder="1" applyAlignment="1">
      <alignment/>
    </xf>
    <xf numFmtId="2" fontId="28" fillId="0" borderId="53" xfId="0" applyNumberFormat="1" applyFont="1" applyBorder="1" applyAlignment="1">
      <alignment/>
    </xf>
    <xf numFmtId="2" fontId="28" fillId="0" borderId="54" xfId="0" applyNumberFormat="1" applyFont="1" applyBorder="1" applyAlignment="1">
      <alignment/>
    </xf>
    <xf numFmtId="2" fontId="28" fillId="0" borderId="55" xfId="0" applyNumberFormat="1" applyFont="1" applyBorder="1" applyAlignment="1">
      <alignment/>
    </xf>
    <xf numFmtId="0" fontId="22" fillId="0" borderId="42" xfId="0" applyFont="1" applyBorder="1" applyAlignment="1">
      <alignment/>
    </xf>
    <xf numFmtId="2" fontId="21" fillId="0" borderId="35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7">
      <selection activeCell="B2" sqref="B2:Y2"/>
    </sheetView>
  </sheetViews>
  <sheetFormatPr defaultColWidth="9.00390625" defaultRowHeight="12.75"/>
  <cols>
    <col min="1" max="1" width="3.25390625" style="25" customWidth="1"/>
    <col min="2" max="2" width="19.875" style="0" customWidth="1"/>
    <col min="3" max="3" width="7.00390625" style="0" hidden="1" customWidth="1"/>
    <col min="4" max="4" width="7.375" style="0" hidden="1" customWidth="1"/>
    <col min="5" max="5" width="8.00390625" style="0" hidden="1" customWidth="1"/>
    <col min="6" max="6" width="10.25390625" style="0" hidden="1" customWidth="1"/>
    <col min="7" max="7" width="8.25390625" style="0" hidden="1" customWidth="1"/>
    <col min="8" max="8" width="9.625" style="0" hidden="1" customWidth="1"/>
    <col min="9" max="9" width="9.375" style="0" hidden="1" customWidth="1"/>
    <col min="10" max="10" width="10.125" style="0" hidden="1" customWidth="1"/>
    <col min="11" max="11" width="8.875" style="0" hidden="1" customWidth="1"/>
    <col min="12" max="12" width="9.625" style="0" hidden="1" customWidth="1"/>
    <col min="13" max="13" width="9.625" style="0" customWidth="1"/>
    <col min="14" max="14" width="8.625" style="0" customWidth="1"/>
    <col min="15" max="15" width="8.25390625" style="0" customWidth="1"/>
    <col min="16" max="16" width="8.625" style="0" customWidth="1"/>
    <col min="17" max="17" width="9.00390625" style="0" customWidth="1"/>
    <col min="18" max="18" width="8.00390625" style="0" customWidth="1"/>
    <col min="19" max="19" width="8.375" style="0" customWidth="1"/>
    <col min="20" max="20" width="8.125" style="0" customWidth="1"/>
    <col min="21" max="21" width="8.625" style="0" customWidth="1"/>
    <col min="22" max="23" width="8.125" style="0" customWidth="1"/>
    <col min="24" max="24" width="8.625" style="0" customWidth="1"/>
    <col min="25" max="25" width="9.00390625" style="0" customWidth="1"/>
    <col min="26" max="26" width="9.875" style="0" customWidth="1"/>
  </cols>
  <sheetData>
    <row r="1" spans="2:31" ht="12.75" customHeight="1">
      <c r="B1" s="110" t="s">
        <v>78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10" t="s">
        <v>77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  <c r="X2" s="111"/>
      <c r="Y2" s="111"/>
      <c r="Z2" s="4"/>
      <c r="AA2" s="4"/>
      <c r="AB2" s="4"/>
      <c r="AC2" s="4"/>
      <c r="AD2" s="4"/>
      <c r="AE2" s="4"/>
    </row>
    <row r="3" spans="2:31" ht="12.75" customHeight="1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3"/>
      <c r="AB3" s="3"/>
      <c r="AC3" s="3"/>
      <c r="AD3" s="3"/>
      <c r="AE3" s="3"/>
    </row>
    <row r="4" spans="2:31" ht="15" customHeight="1">
      <c r="B4" s="108" t="s">
        <v>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2"/>
      <c r="AB4" s="2"/>
      <c r="AC4" s="2"/>
      <c r="AD4" s="2"/>
      <c r="AE4" s="2"/>
    </row>
    <row r="5" spans="2:31" ht="16.5" customHeight="1" thickBot="1">
      <c r="B5" s="108" t="s">
        <v>47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2"/>
      <c r="AB5" s="2"/>
      <c r="AC5" s="2"/>
      <c r="AD5" s="2"/>
      <c r="AE5" s="2"/>
    </row>
    <row r="6" spans="1:31" ht="24" customHeight="1" thickBot="1">
      <c r="A6" s="34" t="s">
        <v>25</v>
      </c>
      <c r="B6" s="26" t="s">
        <v>5</v>
      </c>
      <c r="C6" s="37" t="s">
        <v>43</v>
      </c>
      <c r="D6" s="41" t="s">
        <v>44</v>
      </c>
      <c r="E6" s="69" t="s">
        <v>48</v>
      </c>
      <c r="F6" s="56" t="s">
        <v>50</v>
      </c>
      <c r="G6" s="56" t="s">
        <v>53</v>
      </c>
      <c r="H6" s="56" t="s">
        <v>54</v>
      </c>
      <c r="I6" s="56" t="s">
        <v>57</v>
      </c>
      <c r="J6" s="56" t="s">
        <v>64</v>
      </c>
      <c r="K6" s="56" t="s">
        <v>65</v>
      </c>
      <c r="L6" s="56" t="s">
        <v>73</v>
      </c>
      <c r="M6" s="6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17</v>
      </c>
      <c r="V6" s="5" t="s">
        <v>18</v>
      </c>
      <c r="W6" s="5" t="s">
        <v>20</v>
      </c>
      <c r="X6" s="14" t="s">
        <v>19</v>
      </c>
      <c r="Y6" s="56" t="s">
        <v>74</v>
      </c>
      <c r="Z6" s="51" t="s">
        <v>75</v>
      </c>
      <c r="AA6" s="1"/>
      <c r="AB6" s="1"/>
      <c r="AC6" s="1"/>
      <c r="AD6" s="1"/>
      <c r="AE6" s="1"/>
    </row>
    <row r="7" spans="1:26" ht="13.5" thickBot="1">
      <c r="A7" s="35" t="s">
        <v>26</v>
      </c>
      <c r="B7" s="27" t="s">
        <v>1</v>
      </c>
      <c r="C7" s="64">
        <v>15803.76</v>
      </c>
      <c r="D7" s="65">
        <v>63215.04</v>
      </c>
      <c r="E7" s="70">
        <v>63215.04</v>
      </c>
      <c r="F7" s="66">
        <v>63222.4</v>
      </c>
      <c r="G7" s="65">
        <v>63237.12</v>
      </c>
      <c r="H7" s="66">
        <v>63030.12</v>
      </c>
      <c r="I7" s="84">
        <v>65161.12</v>
      </c>
      <c r="J7" s="65">
        <v>62961.12</v>
      </c>
      <c r="K7" s="65">
        <v>62961.12</v>
      </c>
      <c r="L7" s="65">
        <v>62961.12</v>
      </c>
      <c r="M7" s="7">
        <v>4904.58</v>
      </c>
      <c r="N7" s="7">
        <v>4904.58</v>
      </c>
      <c r="O7" s="7">
        <v>4904.58</v>
      </c>
      <c r="P7" s="7">
        <v>4904.58</v>
      </c>
      <c r="Q7" s="7">
        <v>4904.58</v>
      </c>
      <c r="R7" s="7">
        <v>4904.58</v>
      </c>
      <c r="S7" s="7">
        <v>4904.58</v>
      </c>
      <c r="T7" s="7">
        <v>4904.58</v>
      </c>
      <c r="U7" s="7">
        <v>4904.58</v>
      </c>
      <c r="V7" s="7">
        <v>4904.58</v>
      </c>
      <c r="W7" s="7">
        <v>4904.58</v>
      </c>
      <c r="X7" s="7">
        <v>4904.58</v>
      </c>
      <c r="Y7" s="60">
        <f>SUM(M7:X7)</f>
        <v>58854.960000000014</v>
      </c>
      <c r="Z7" s="75">
        <f>SUM(C7:X7)</f>
        <v>644622.9199999995</v>
      </c>
    </row>
    <row r="8" spans="1:26" ht="13.5" thickBot="1">
      <c r="A8" s="35"/>
      <c r="B8" s="27" t="s">
        <v>66</v>
      </c>
      <c r="C8" s="64"/>
      <c r="D8" s="66"/>
      <c r="E8" s="70"/>
      <c r="F8" s="66"/>
      <c r="G8" s="66"/>
      <c r="H8" s="66"/>
      <c r="I8" s="70"/>
      <c r="J8" s="66"/>
      <c r="K8" s="66">
        <v>10506.64</v>
      </c>
      <c r="L8" s="66">
        <v>8109.24</v>
      </c>
      <c r="M8" s="7">
        <f aca="true" t="shared" si="0" ref="M8:R8">28.19+41.1+131.02</f>
        <v>200.31</v>
      </c>
      <c r="N8" s="7">
        <f t="shared" si="0"/>
        <v>200.31</v>
      </c>
      <c r="O8" s="7">
        <f t="shared" si="0"/>
        <v>200.31</v>
      </c>
      <c r="P8" s="7">
        <f t="shared" si="0"/>
        <v>200.31</v>
      </c>
      <c r="Q8" s="7">
        <f t="shared" si="0"/>
        <v>200.31</v>
      </c>
      <c r="R8" s="7">
        <f t="shared" si="0"/>
        <v>200.31</v>
      </c>
      <c r="S8" s="8">
        <f aca="true" t="shared" si="1" ref="S8:X8">28.68+45.73+133.39</f>
        <v>207.79999999999998</v>
      </c>
      <c r="T8" s="8">
        <f t="shared" si="1"/>
        <v>207.79999999999998</v>
      </c>
      <c r="U8" s="8">
        <f t="shared" si="1"/>
        <v>207.79999999999998</v>
      </c>
      <c r="V8" s="8">
        <f t="shared" si="1"/>
        <v>207.79999999999998</v>
      </c>
      <c r="W8" s="8">
        <f t="shared" si="1"/>
        <v>207.79999999999998</v>
      </c>
      <c r="X8" s="8">
        <f t="shared" si="1"/>
        <v>207.79999999999998</v>
      </c>
      <c r="Y8" s="60">
        <f>SUM(M8:X8)</f>
        <v>2448.66</v>
      </c>
      <c r="Z8" s="75">
        <f>SUM(C8:X8)</f>
        <v>21064.54</v>
      </c>
    </row>
    <row r="9" spans="1:26" s="96" customFormat="1" ht="13.5" thickBot="1">
      <c r="A9" s="89" t="s">
        <v>27</v>
      </c>
      <c r="B9" s="90" t="s">
        <v>2</v>
      </c>
      <c r="C9" s="91">
        <f aca="true" t="shared" si="2" ref="C9:M9">SUM(C10:C25)</f>
        <v>10217.240000000002</v>
      </c>
      <c r="D9" s="92">
        <f t="shared" si="2"/>
        <v>48781.09999999999</v>
      </c>
      <c r="E9" s="91">
        <f t="shared" si="2"/>
        <v>58459.04999999999</v>
      </c>
      <c r="F9" s="92">
        <f t="shared" si="2"/>
        <v>69942.68999999999</v>
      </c>
      <c r="G9" s="92">
        <f t="shared" si="2"/>
        <v>57434.729999999996</v>
      </c>
      <c r="H9" s="92">
        <f>SUM(H10:H25)</f>
        <v>56362.60999999999</v>
      </c>
      <c r="I9" s="93">
        <f>SUM(I10:I25)</f>
        <v>70995.23</v>
      </c>
      <c r="J9" s="92">
        <f>SUM(J10:J25)</f>
        <v>57817.09999999999</v>
      </c>
      <c r="K9" s="92">
        <f>SUM(K10:K25)</f>
        <v>73393.65</v>
      </c>
      <c r="L9" s="92">
        <f t="shared" si="2"/>
        <v>86790.40000000001</v>
      </c>
      <c r="M9" s="94">
        <f t="shared" si="2"/>
        <v>4354.01</v>
      </c>
      <c r="N9" s="94">
        <f aca="true" t="shared" si="3" ref="N9:X9">SUM(N10:N25)</f>
        <v>4738.18</v>
      </c>
      <c r="O9" s="94">
        <f t="shared" si="3"/>
        <v>4083.97</v>
      </c>
      <c r="P9" s="94">
        <f t="shared" si="3"/>
        <v>4375.61</v>
      </c>
      <c r="Q9" s="94">
        <f t="shared" si="3"/>
        <v>5195.26</v>
      </c>
      <c r="R9" s="94">
        <f t="shared" si="3"/>
        <v>3195.04</v>
      </c>
      <c r="S9" s="94">
        <f t="shared" si="3"/>
        <v>4436.77</v>
      </c>
      <c r="T9" s="94">
        <f t="shared" si="3"/>
        <v>8558.6</v>
      </c>
      <c r="U9" s="94">
        <f t="shared" si="3"/>
        <v>3991.57</v>
      </c>
      <c r="V9" s="94">
        <f t="shared" si="3"/>
        <v>3610.4799999999996</v>
      </c>
      <c r="W9" s="94">
        <f t="shared" si="3"/>
        <v>3246.53</v>
      </c>
      <c r="X9" s="91">
        <f t="shared" si="3"/>
        <v>3360.6100000000006</v>
      </c>
      <c r="Y9" s="92">
        <f>SUM(M9:X9)</f>
        <v>53146.630000000005</v>
      </c>
      <c r="Z9" s="95">
        <f>SUM(C9:X9)</f>
        <v>643340.4299999999</v>
      </c>
    </row>
    <row r="10" spans="1:26" ht="13.5" thickBot="1">
      <c r="A10" s="35" t="s">
        <v>28</v>
      </c>
      <c r="B10" s="29" t="s">
        <v>76</v>
      </c>
      <c r="C10" s="45">
        <v>2399</v>
      </c>
      <c r="D10" s="46">
        <v>9407.2</v>
      </c>
      <c r="E10" s="71">
        <v>11924.62</v>
      </c>
      <c r="F10" s="46">
        <v>12978.56</v>
      </c>
      <c r="G10" s="46">
        <v>13711.71</v>
      </c>
      <c r="H10" s="46">
        <v>15893.14</v>
      </c>
      <c r="I10" s="71">
        <v>14803.09</v>
      </c>
      <c r="J10" s="46">
        <v>13565.89</v>
      </c>
      <c r="K10" s="46">
        <v>13975.08</v>
      </c>
      <c r="L10" s="46">
        <v>16067.24</v>
      </c>
      <c r="M10" s="7"/>
      <c r="N10" s="8"/>
      <c r="O10" s="8"/>
      <c r="P10" s="8">
        <v>36</v>
      </c>
      <c r="Q10" s="8">
        <v>27.51</v>
      </c>
      <c r="R10" s="8">
        <f>11.38</f>
        <v>11.38</v>
      </c>
      <c r="S10" s="8">
        <v>29.99</v>
      </c>
      <c r="T10" s="8">
        <v>22.16</v>
      </c>
      <c r="U10" s="8">
        <v>5.55</v>
      </c>
      <c r="V10" s="8">
        <v>19.85</v>
      </c>
      <c r="W10" s="8">
        <v>16.53</v>
      </c>
      <c r="X10" s="15">
        <v>11.19</v>
      </c>
      <c r="Y10" s="57">
        <f aca="true" t="shared" si="4" ref="Y10:Y27">SUM(M10:X10)</f>
        <v>180.16</v>
      </c>
      <c r="Z10" s="76">
        <f>SUM(C10:X10)</f>
        <v>124905.69000000002</v>
      </c>
    </row>
    <row r="11" spans="1:26" ht="14.25" customHeight="1" thickBot="1">
      <c r="A11" s="35" t="s">
        <v>29</v>
      </c>
      <c r="B11" s="30" t="s">
        <v>59</v>
      </c>
      <c r="C11" s="47">
        <v>5735.42</v>
      </c>
      <c r="D11" s="48">
        <v>15694.02</v>
      </c>
      <c r="E11" s="72">
        <v>5764.16</v>
      </c>
      <c r="F11" s="48">
        <v>7095.24</v>
      </c>
      <c r="G11" s="48">
        <v>1556.96</v>
      </c>
      <c r="H11" s="48"/>
      <c r="I11" s="72">
        <v>3463.27</v>
      </c>
      <c r="J11" s="48">
        <v>40.23</v>
      </c>
      <c r="K11" s="48">
        <v>1166.25</v>
      </c>
      <c r="L11" s="48">
        <v>1820</v>
      </c>
      <c r="M11" s="9"/>
      <c r="N11" s="10">
        <v>600</v>
      </c>
      <c r="O11" s="10"/>
      <c r="P11" s="10"/>
      <c r="Q11" s="10"/>
      <c r="R11" s="10"/>
      <c r="S11" s="10"/>
      <c r="T11" s="10"/>
      <c r="U11" s="10"/>
      <c r="V11" s="10"/>
      <c r="W11" s="10"/>
      <c r="X11" s="16"/>
      <c r="Y11" s="57">
        <f t="shared" si="4"/>
        <v>600</v>
      </c>
      <c r="Z11" s="76">
        <f aca="true" t="shared" si="5" ref="Z11:Z25">SUM(C11:X11)</f>
        <v>42935.55</v>
      </c>
    </row>
    <row r="12" spans="1:26" ht="21.75" customHeight="1" thickBot="1">
      <c r="A12" s="35" t="s">
        <v>30</v>
      </c>
      <c r="B12" s="28" t="s">
        <v>4</v>
      </c>
      <c r="C12" s="47">
        <v>0</v>
      </c>
      <c r="D12" s="48">
        <v>0</v>
      </c>
      <c r="E12" s="72">
        <v>0</v>
      </c>
      <c r="F12" s="48">
        <v>1860.1</v>
      </c>
      <c r="G12" s="48">
        <v>0</v>
      </c>
      <c r="H12" s="48"/>
      <c r="I12" s="72">
        <v>6586.3</v>
      </c>
      <c r="J12" s="48">
        <v>0</v>
      </c>
      <c r="K12" s="48">
        <v>0</v>
      </c>
      <c r="L12" s="48">
        <v>11726.11</v>
      </c>
      <c r="M12" s="9"/>
      <c r="N12" s="10"/>
      <c r="O12" s="10"/>
      <c r="P12" s="10"/>
      <c r="Q12" s="10"/>
      <c r="R12" s="10"/>
      <c r="S12" s="10"/>
      <c r="T12" s="10">
        <v>4457.5</v>
      </c>
      <c r="U12" s="10"/>
      <c r="V12" s="10"/>
      <c r="W12" s="10"/>
      <c r="X12" s="16"/>
      <c r="Y12" s="57">
        <f t="shared" si="4"/>
        <v>4457.5</v>
      </c>
      <c r="Z12" s="76">
        <f t="shared" si="5"/>
        <v>24630.010000000002</v>
      </c>
    </row>
    <row r="13" spans="1:26" ht="14.25" customHeight="1" thickBot="1">
      <c r="A13" s="35"/>
      <c r="B13" s="28" t="s">
        <v>58</v>
      </c>
      <c r="C13" s="47"/>
      <c r="D13" s="48"/>
      <c r="E13" s="72"/>
      <c r="F13" s="48"/>
      <c r="G13" s="48"/>
      <c r="H13" s="48"/>
      <c r="I13" s="72">
        <v>1800</v>
      </c>
      <c r="J13" s="48">
        <v>1000</v>
      </c>
      <c r="K13" s="48">
        <v>400</v>
      </c>
      <c r="L13" s="48">
        <v>700</v>
      </c>
      <c r="M13" s="9"/>
      <c r="N13" s="10"/>
      <c r="O13" s="10"/>
      <c r="P13" s="10"/>
      <c r="Q13" s="10">
        <v>800</v>
      </c>
      <c r="R13" s="10"/>
      <c r="S13" s="10"/>
      <c r="T13" s="10"/>
      <c r="U13" s="10"/>
      <c r="V13" s="10"/>
      <c r="W13" s="10"/>
      <c r="X13" s="16"/>
      <c r="Y13" s="57">
        <f>SUM(M13:X13)</f>
        <v>800</v>
      </c>
      <c r="Z13" s="76">
        <f>SUM(C13:X13)</f>
        <v>4700</v>
      </c>
    </row>
    <row r="14" spans="1:26" ht="12" customHeight="1" thickBot="1">
      <c r="A14" s="35" t="s">
        <v>31</v>
      </c>
      <c r="B14" s="30" t="s">
        <v>56</v>
      </c>
      <c r="C14" s="47">
        <v>0</v>
      </c>
      <c r="D14" s="48">
        <v>211.17</v>
      </c>
      <c r="E14" s="72">
        <v>276.12</v>
      </c>
      <c r="F14" s="48">
        <v>5509.08</v>
      </c>
      <c r="G14" s="48">
        <v>1461.03</v>
      </c>
      <c r="H14" s="48">
        <v>304.82</v>
      </c>
      <c r="I14" s="72">
        <v>1111.31</v>
      </c>
      <c r="J14" s="48">
        <v>1539.8</v>
      </c>
      <c r="K14" s="48">
        <v>1868.8</v>
      </c>
      <c r="L14" s="48">
        <v>347.72</v>
      </c>
      <c r="M14" s="9"/>
      <c r="N14" s="10"/>
      <c r="O14" s="10">
        <v>60</v>
      </c>
      <c r="P14" s="10"/>
      <c r="Q14" s="10">
        <v>141.44</v>
      </c>
      <c r="R14" s="10">
        <v>60</v>
      </c>
      <c r="S14" s="10">
        <v>251.88</v>
      </c>
      <c r="T14" s="10"/>
      <c r="U14" s="10"/>
      <c r="V14" s="10"/>
      <c r="W14" s="10"/>
      <c r="X14" s="16"/>
      <c r="Y14" s="57">
        <f t="shared" si="4"/>
        <v>513.3199999999999</v>
      </c>
      <c r="Z14" s="76">
        <f t="shared" si="5"/>
        <v>13143.169999999996</v>
      </c>
    </row>
    <row r="15" spans="1:26" ht="12.75" customHeight="1" thickBot="1">
      <c r="A15" s="35" t="s">
        <v>32</v>
      </c>
      <c r="B15" s="30" t="s">
        <v>72</v>
      </c>
      <c r="C15" s="47">
        <v>0</v>
      </c>
      <c r="D15" s="48">
        <v>0</v>
      </c>
      <c r="E15" s="72">
        <v>0</v>
      </c>
      <c r="F15" s="48">
        <v>256</v>
      </c>
      <c r="G15" s="48">
        <v>0</v>
      </c>
      <c r="H15" s="48">
        <v>11.63</v>
      </c>
      <c r="I15" s="72">
        <v>52.96</v>
      </c>
      <c r="J15" s="48">
        <v>186</v>
      </c>
      <c r="K15" s="48">
        <v>43.54</v>
      </c>
      <c r="L15" s="48">
        <v>2188</v>
      </c>
      <c r="M15" s="9">
        <v>50.86</v>
      </c>
      <c r="N15" s="10">
        <v>27</v>
      </c>
      <c r="O15" s="10"/>
      <c r="P15" s="10"/>
      <c r="Q15" s="10"/>
      <c r="R15" s="10"/>
      <c r="S15" s="10"/>
      <c r="T15" s="10"/>
      <c r="U15" s="10"/>
      <c r="V15" s="10"/>
      <c r="W15" s="10"/>
      <c r="X15" s="16"/>
      <c r="Y15" s="57">
        <f t="shared" si="4"/>
        <v>77.86</v>
      </c>
      <c r="Z15" s="76">
        <f t="shared" si="5"/>
        <v>2815.9900000000002</v>
      </c>
    </row>
    <row r="16" spans="1:26" ht="14.25" customHeight="1" thickBot="1">
      <c r="A16" s="35" t="s">
        <v>33</v>
      </c>
      <c r="B16" s="30" t="s">
        <v>67</v>
      </c>
      <c r="C16" s="47">
        <v>1253.7</v>
      </c>
      <c r="D16" s="48">
        <v>4922.3</v>
      </c>
      <c r="E16" s="72">
        <v>5856.9</v>
      </c>
      <c r="F16" s="48">
        <v>3338.53</v>
      </c>
      <c r="G16" s="48">
        <v>0</v>
      </c>
      <c r="H16" s="48"/>
      <c r="I16" s="72">
        <v>0</v>
      </c>
      <c r="J16" s="48">
        <v>0</v>
      </c>
      <c r="K16" s="48">
        <v>8231.22</v>
      </c>
      <c r="L16" s="48">
        <v>5759.22</v>
      </c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10"/>
      <c r="Y16" s="57">
        <f t="shared" si="4"/>
        <v>0</v>
      </c>
      <c r="Z16" s="76">
        <f t="shared" si="5"/>
        <v>29361.870000000003</v>
      </c>
    </row>
    <row r="17" spans="1:26" ht="14.25" customHeight="1" thickBot="1">
      <c r="A17" s="35"/>
      <c r="B17" s="30" t="s">
        <v>69</v>
      </c>
      <c r="C17" s="47"/>
      <c r="D17" s="48"/>
      <c r="E17" s="72"/>
      <c r="F17" s="48"/>
      <c r="G17" s="48"/>
      <c r="H17" s="48"/>
      <c r="I17" s="72"/>
      <c r="J17" s="48"/>
      <c r="K17" s="48">
        <v>326.48</v>
      </c>
      <c r="L17" s="48">
        <v>337.26</v>
      </c>
      <c r="M17" s="9">
        <v>28.19</v>
      </c>
      <c r="N17" s="9">
        <v>28.19</v>
      </c>
      <c r="O17" s="9">
        <v>28.19</v>
      </c>
      <c r="P17" s="9">
        <v>28.19</v>
      </c>
      <c r="Q17" s="9">
        <v>28.19</v>
      </c>
      <c r="R17" s="9">
        <v>28.19</v>
      </c>
      <c r="S17" s="9">
        <v>28.19</v>
      </c>
      <c r="T17" s="10">
        <v>29.23</v>
      </c>
      <c r="U17" s="10">
        <v>28.71</v>
      </c>
      <c r="V17" s="10">
        <v>28.71</v>
      </c>
      <c r="W17" s="10">
        <v>28.71</v>
      </c>
      <c r="X17" s="10">
        <v>28.71</v>
      </c>
      <c r="Y17" s="57">
        <f>SUM(M17:X17)</f>
        <v>341.4</v>
      </c>
      <c r="Z17" s="76">
        <f>SUM(C17:X17)</f>
        <v>1005.1400000000006</v>
      </c>
    </row>
    <row r="18" spans="1:26" ht="14.25" customHeight="1" thickBot="1">
      <c r="A18" s="35"/>
      <c r="B18" s="30" t="s">
        <v>68</v>
      </c>
      <c r="C18" s="47"/>
      <c r="D18" s="48"/>
      <c r="E18" s="72"/>
      <c r="F18" s="48"/>
      <c r="G18" s="48"/>
      <c r="H18" s="48"/>
      <c r="I18" s="72"/>
      <c r="J18" s="48"/>
      <c r="K18" s="48">
        <v>1674.8</v>
      </c>
      <c r="L18" s="48">
        <v>1423.71</v>
      </c>
      <c r="M18" s="9">
        <v>131</v>
      </c>
      <c r="N18" s="9">
        <v>131</v>
      </c>
      <c r="O18" s="9">
        <v>131</v>
      </c>
      <c r="P18" s="9">
        <v>131</v>
      </c>
      <c r="Q18" s="9">
        <v>131</v>
      </c>
      <c r="R18" s="9">
        <v>131</v>
      </c>
      <c r="S18" s="9">
        <v>57.85</v>
      </c>
      <c r="T18" s="10">
        <v>133.39</v>
      </c>
      <c r="U18" s="10">
        <v>133.39</v>
      </c>
      <c r="V18" s="10">
        <v>133.39</v>
      </c>
      <c r="W18" s="10">
        <v>133.39</v>
      </c>
      <c r="X18" s="10">
        <v>133.39</v>
      </c>
      <c r="Y18" s="57">
        <f>SUM(M18:X18)</f>
        <v>1510.7999999999997</v>
      </c>
      <c r="Z18" s="76">
        <f>SUM(C18:X18)</f>
        <v>4609.310000000001</v>
      </c>
    </row>
    <row r="19" spans="1:26" ht="14.25" customHeight="1" thickBot="1">
      <c r="A19" s="35"/>
      <c r="B19" s="30" t="s">
        <v>70</v>
      </c>
      <c r="C19" s="47"/>
      <c r="D19" s="48"/>
      <c r="E19" s="72"/>
      <c r="F19" s="48"/>
      <c r="G19" s="48"/>
      <c r="H19" s="48"/>
      <c r="I19" s="72"/>
      <c r="J19" s="48"/>
      <c r="K19" s="48">
        <v>284.28</v>
      </c>
      <c r="L19" s="48">
        <v>491.1</v>
      </c>
      <c r="M19" s="9">
        <v>41.1</v>
      </c>
      <c r="N19" s="9">
        <v>41.1</v>
      </c>
      <c r="O19" s="9">
        <v>41.1</v>
      </c>
      <c r="P19" s="9">
        <v>41.1</v>
      </c>
      <c r="Q19" s="9">
        <v>41.1</v>
      </c>
      <c r="R19" s="9">
        <v>41.1</v>
      </c>
      <c r="S19" s="9">
        <v>41.1</v>
      </c>
      <c r="T19" s="10">
        <v>50.36</v>
      </c>
      <c r="U19" s="10">
        <v>45.73</v>
      </c>
      <c r="V19" s="10">
        <v>45.73</v>
      </c>
      <c r="W19" s="10">
        <v>45.73</v>
      </c>
      <c r="X19" s="10">
        <v>45.73</v>
      </c>
      <c r="Y19" s="57">
        <f>SUM(M19:X19)</f>
        <v>520.98</v>
      </c>
      <c r="Z19" s="76">
        <f>SUM(C19:X19)</f>
        <v>1296.3600000000001</v>
      </c>
    </row>
    <row r="20" spans="1:26" ht="15" customHeight="1" thickBot="1">
      <c r="A20" s="35" t="s">
        <v>34</v>
      </c>
      <c r="B20" s="30" t="s">
        <v>71</v>
      </c>
      <c r="C20" s="47">
        <v>74.69</v>
      </c>
      <c r="D20" s="48">
        <v>979.3</v>
      </c>
      <c r="E20" s="72">
        <v>527.26</v>
      </c>
      <c r="F20" s="48">
        <v>477.86</v>
      </c>
      <c r="G20" s="48">
        <v>563.32</v>
      </c>
      <c r="H20" s="48"/>
      <c r="I20" s="72">
        <v>0</v>
      </c>
      <c r="J20" s="48">
        <v>0</v>
      </c>
      <c r="K20" s="48">
        <v>0</v>
      </c>
      <c r="L20" s="48">
        <v>0</v>
      </c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6"/>
      <c r="Y20" s="57">
        <f t="shared" si="4"/>
        <v>0</v>
      </c>
      <c r="Z20" s="76">
        <f t="shared" si="5"/>
        <v>2622.4300000000003</v>
      </c>
    </row>
    <row r="21" spans="1:26" ht="35.25" customHeight="1" thickBot="1">
      <c r="A21" s="35" t="s">
        <v>35</v>
      </c>
      <c r="B21" s="30" t="s">
        <v>60</v>
      </c>
      <c r="C21" s="47">
        <v>0</v>
      </c>
      <c r="D21" s="48">
        <v>779.84</v>
      </c>
      <c r="E21" s="72">
        <v>2780.29</v>
      </c>
      <c r="F21" s="48">
        <v>3504.67</v>
      </c>
      <c r="G21" s="48">
        <v>3229.38</v>
      </c>
      <c r="H21" s="48">
        <v>2326.03</v>
      </c>
      <c r="I21" s="72">
        <v>2740.85</v>
      </c>
      <c r="J21" s="48">
        <v>2898.37</v>
      </c>
      <c r="K21" s="48">
        <v>2944.64</v>
      </c>
      <c r="L21" s="48">
        <v>3094.42</v>
      </c>
      <c r="M21" s="9">
        <v>249.25</v>
      </c>
      <c r="N21" s="10">
        <v>261.96</v>
      </c>
      <c r="O21" s="10">
        <v>207.46</v>
      </c>
      <c r="P21" s="10">
        <v>248.46</v>
      </c>
      <c r="Q21" s="10">
        <v>206.69</v>
      </c>
      <c r="R21" s="10">
        <v>158.48</v>
      </c>
      <c r="S21" s="10">
        <v>165.64</v>
      </c>
      <c r="T21" s="10">
        <v>140.39</v>
      </c>
      <c r="U21" s="10">
        <v>157.86</v>
      </c>
      <c r="V21" s="10">
        <v>326.89</v>
      </c>
      <c r="W21" s="10">
        <v>206.7</v>
      </c>
      <c r="X21" s="16">
        <v>175.86</v>
      </c>
      <c r="Y21" s="57">
        <f t="shared" si="4"/>
        <v>2505.64</v>
      </c>
      <c r="Z21" s="76">
        <f t="shared" si="5"/>
        <v>26804.129999999994</v>
      </c>
    </row>
    <row r="22" spans="1:26" ht="33.75" customHeight="1" thickBot="1">
      <c r="A22" s="35" t="s">
        <v>36</v>
      </c>
      <c r="B22" s="30" t="s">
        <v>61</v>
      </c>
      <c r="C22" s="47">
        <v>295.53</v>
      </c>
      <c r="D22" s="48">
        <v>1357.62</v>
      </c>
      <c r="E22" s="72">
        <v>1513.62</v>
      </c>
      <c r="F22" s="48">
        <v>454.02</v>
      </c>
      <c r="G22" s="48">
        <v>322.84</v>
      </c>
      <c r="H22" s="48">
        <v>708.93</v>
      </c>
      <c r="I22" s="72">
        <v>472.35</v>
      </c>
      <c r="J22" s="48">
        <v>414.69</v>
      </c>
      <c r="K22" s="48">
        <v>323.9</v>
      </c>
      <c r="L22" s="48">
        <v>312.17</v>
      </c>
      <c r="M22" s="9">
        <v>19.72</v>
      </c>
      <c r="N22" s="10">
        <v>17</v>
      </c>
      <c r="O22" s="10">
        <v>14.82</v>
      </c>
      <c r="P22" s="10">
        <v>17.24</v>
      </c>
      <c r="Q22" s="10">
        <v>1.82</v>
      </c>
      <c r="R22" s="10">
        <v>25.84</v>
      </c>
      <c r="S22" s="10">
        <v>28.98</v>
      </c>
      <c r="T22" s="10">
        <v>33.76</v>
      </c>
      <c r="U22" s="10">
        <v>50.17</v>
      </c>
      <c r="V22" s="10">
        <v>12.41</v>
      </c>
      <c r="W22" s="10">
        <v>45.79</v>
      </c>
      <c r="X22" s="16">
        <v>16.11</v>
      </c>
      <c r="Y22" s="57">
        <f t="shared" si="4"/>
        <v>283.66</v>
      </c>
      <c r="Z22" s="76">
        <f t="shared" si="5"/>
        <v>6459.329999999998</v>
      </c>
    </row>
    <row r="23" spans="1:26" ht="33" customHeight="1" thickBot="1">
      <c r="A23" s="35" t="s">
        <v>37</v>
      </c>
      <c r="B23" s="30" t="s">
        <v>62</v>
      </c>
      <c r="C23" s="47">
        <v>0</v>
      </c>
      <c r="D23" s="48">
        <v>642.14</v>
      </c>
      <c r="E23" s="72">
        <v>2474.72</v>
      </c>
      <c r="F23" s="48">
        <v>2360.2</v>
      </c>
      <c r="G23" s="48">
        <v>3166.98</v>
      </c>
      <c r="H23" s="48">
        <v>2732.14</v>
      </c>
      <c r="I23" s="72">
        <v>3520.18</v>
      </c>
      <c r="J23" s="48">
        <v>3036.06</v>
      </c>
      <c r="K23" s="48">
        <v>3201.41</v>
      </c>
      <c r="L23" s="48">
        <v>3479.85</v>
      </c>
      <c r="M23" s="9">
        <f>12.31+119.27+146.91</f>
        <v>278.49</v>
      </c>
      <c r="N23" s="10">
        <f>11.6+166.18+142.42</f>
        <v>320.2</v>
      </c>
      <c r="O23" s="10">
        <f>148.53+10.09+110.79</f>
        <v>269.41</v>
      </c>
      <c r="P23" s="10">
        <f>10.79+122.5+393.59</f>
        <v>526.88</v>
      </c>
      <c r="Q23" s="10">
        <f>10.53+135.26+106.67</f>
        <v>252.45999999999998</v>
      </c>
      <c r="R23" s="10">
        <f>12.24+94.14+188.88</f>
        <v>295.26</v>
      </c>
      <c r="S23" s="10">
        <f>11.77+159.44+86.02</f>
        <v>257.23</v>
      </c>
      <c r="T23" s="10">
        <f>10.78+98.01+137.13</f>
        <v>245.92000000000002</v>
      </c>
      <c r="U23" s="10">
        <f>7.85+87.17+124.86</f>
        <v>219.88</v>
      </c>
      <c r="V23" s="10">
        <f>7.96+139.83+354.8</f>
        <v>502.59000000000003</v>
      </c>
      <c r="W23" s="10">
        <f>6.79+87.8+91.38</f>
        <v>185.97</v>
      </c>
      <c r="X23" s="16">
        <f>8.77+265.54+153.38</f>
        <v>427.69</v>
      </c>
      <c r="Y23" s="57">
        <f t="shared" si="4"/>
        <v>3781.9800000000005</v>
      </c>
      <c r="Z23" s="76">
        <f t="shared" si="5"/>
        <v>28395.659999999996</v>
      </c>
    </row>
    <row r="24" spans="1:26" ht="15.75" customHeight="1" thickBot="1">
      <c r="A24" s="35" t="s">
        <v>51</v>
      </c>
      <c r="B24" s="30" t="s">
        <v>7</v>
      </c>
      <c r="C24" s="47">
        <v>283.33</v>
      </c>
      <c r="D24" s="48">
        <v>12621.88</v>
      </c>
      <c r="E24" s="72">
        <v>23506.3</v>
      </c>
      <c r="F24" s="48">
        <v>29645.67</v>
      </c>
      <c r="G24" s="48">
        <v>31289.46</v>
      </c>
      <c r="H24" s="48">
        <v>31991.65</v>
      </c>
      <c r="I24" s="72">
        <v>34305.64</v>
      </c>
      <c r="J24" s="87">
        <v>32869.22</v>
      </c>
      <c r="K24" s="87">
        <v>34455.25</v>
      </c>
      <c r="L24" s="87">
        <v>34230.64</v>
      </c>
      <c r="M24" s="9">
        <f>4354.01-984.2</f>
        <v>3369.8100000000004</v>
      </c>
      <c r="N24" s="10">
        <f>4738.18-1585.58</f>
        <v>3152.6000000000004</v>
      </c>
      <c r="O24" s="10">
        <f>4083.97-911.11</f>
        <v>3172.8599999999997</v>
      </c>
      <c r="P24" s="10">
        <f>4375.61-1188</f>
        <v>3187.6099999999997</v>
      </c>
      <c r="Q24" s="10">
        <f>5195.26-1850.42</f>
        <v>3344.84</v>
      </c>
      <c r="R24" s="10">
        <f>3195.04-923.67</f>
        <v>2271.37</v>
      </c>
      <c r="S24" s="10">
        <f>4436.77-1034.86</f>
        <v>3401.9100000000008</v>
      </c>
      <c r="T24" s="10">
        <f>8558.6-5286.96</f>
        <v>3271.6400000000003</v>
      </c>
      <c r="U24" s="10">
        <f>3991.57-815.54</f>
        <v>3176.03</v>
      </c>
      <c r="V24" s="10">
        <f>3610.48-1228.94</f>
        <v>2381.54</v>
      </c>
      <c r="W24" s="10">
        <f>3246.53-851.97</f>
        <v>2394.5600000000004</v>
      </c>
      <c r="X24" s="16">
        <f>3360.61-1000.05</f>
        <v>2360.5600000000004</v>
      </c>
      <c r="Y24" s="57">
        <f t="shared" si="4"/>
        <v>35485.329999999994</v>
      </c>
      <c r="Z24" s="76">
        <f t="shared" si="5"/>
        <v>300684.36999999994</v>
      </c>
    </row>
    <row r="25" spans="1:26" ht="13.5" customHeight="1" thickBot="1">
      <c r="A25" s="35" t="s">
        <v>52</v>
      </c>
      <c r="B25" s="31" t="s">
        <v>3</v>
      </c>
      <c r="C25" s="49">
        <v>175.57</v>
      </c>
      <c r="D25" s="50">
        <v>2165.63</v>
      </c>
      <c r="E25" s="73">
        <v>3835.06</v>
      </c>
      <c r="F25" s="50">
        <v>2462.76</v>
      </c>
      <c r="G25" s="50">
        <v>2133.05</v>
      </c>
      <c r="H25" s="50">
        <v>2394.27</v>
      </c>
      <c r="I25" s="73">
        <v>2139.28</v>
      </c>
      <c r="J25" s="50">
        <v>2266.84</v>
      </c>
      <c r="K25" s="50">
        <v>4498</v>
      </c>
      <c r="L25" s="107">
        <v>4812.96</v>
      </c>
      <c r="M25" s="12">
        <f>6.75+178.84</f>
        <v>185.59</v>
      </c>
      <c r="N25" s="11">
        <f>6.24+152.89</f>
        <v>159.13</v>
      </c>
      <c r="O25" s="11">
        <f>6.24+152.89</f>
        <v>159.13</v>
      </c>
      <c r="P25" s="11">
        <f>6.24+152.89</f>
        <v>159.13</v>
      </c>
      <c r="Q25" s="11">
        <f>8.64+211.57</f>
        <v>220.20999999999998</v>
      </c>
      <c r="R25" s="11">
        <f>6.77+165.65</f>
        <v>172.42000000000002</v>
      </c>
      <c r="S25" s="11">
        <f>6.83+167.17</f>
        <v>174</v>
      </c>
      <c r="T25" s="11">
        <f>7.08+167.17</f>
        <v>174.25</v>
      </c>
      <c r="U25" s="11">
        <f>7.08+167.17</f>
        <v>174.25</v>
      </c>
      <c r="V25" s="11">
        <f>6.48+152.89</f>
        <v>159.36999999999998</v>
      </c>
      <c r="W25" s="11">
        <f>7.69+181.46</f>
        <v>189.15</v>
      </c>
      <c r="X25" s="18">
        <f>8.48+152.89</f>
        <v>161.36999999999998</v>
      </c>
      <c r="Y25" s="57">
        <f t="shared" si="4"/>
        <v>2088</v>
      </c>
      <c r="Z25" s="67">
        <f t="shared" si="5"/>
        <v>28971.42</v>
      </c>
    </row>
    <row r="26" spans="1:26" ht="13.5" customHeight="1" thickBot="1">
      <c r="A26" s="35"/>
      <c r="B26" s="42" t="s">
        <v>55</v>
      </c>
      <c r="C26" s="77"/>
      <c r="D26" s="78"/>
      <c r="E26" s="79"/>
      <c r="F26" s="78"/>
      <c r="G26" s="78"/>
      <c r="H26" s="80">
        <f>H7*5%</f>
        <v>3151.5060000000003</v>
      </c>
      <c r="I26" s="85">
        <f>I7*5%</f>
        <v>3258.0560000000005</v>
      </c>
      <c r="J26" s="81">
        <f>J7*5%</f>
        <v>3148.0560000000005</v>
      </c>
      <c r="K26" s="81">
        <f>K7*5%</f>
        <v>3148.0560000000005</v>
      </c>
      <c r="L26" s="81">
        <f>L7*5%</f>
        <v>3148.0560000000005</v>
      </c>
      <c r="M26" s="80">
        <f>(M7+M8)*5%</f>
        <v>255.24450000000002</v>
      </c>
      <c r="N26" s="80">
        <f aca="true" t="shared" si="6" ref="N26:X26">(N7+N8)*5%</f>
        <v>255.24450000000002</v>
      </c>
      <c r="O26" s="80">
        <f t="shared" si="6"/>
        <v>255.24450000000002</v>
      </c>
      <c r="P26" s="80">
        <f t="shared" si="6"/>
        <v>255.24450000000002</v>
      </c>
      <c r="Q26" s="80">
        <f t="shared" si="6"/>
        <v>255.24450000000002</v>
      </c>
      <c r="R26" s="80">
        <f t="shared" si="6"/>
        <v>255.24450000000002</v>
      </c>
      <c r="S26" s="80">
        <f t="shared" si="6"/>
        <v>255.61900000000003</v>
      </c>
      <c r="T26" s="80">
        <f t="shared" si="6"/>
        <v>255.61900000000003</v>
      </c>
      <c r="U26" s="80">
        <f t="shared" si="6"/>
        <v>255.61900000000003</v>
      </c>
      <c r="V26" s="80">
        <f t="shared" si="6"/>
        <v>255.61900000000003</v>
      </c>
      <c r="W26" s="80">
        <f t="shared" si="6"/>
        <v>255.61900000000003</v>
      </c>
      <c r="X26" s="80">
        <f t="shared" si="6"/>
        <v>255.61900000000003</v>
      </c>
      <c r="Y26" s="81">
        <f t="shared" si="4"/>
        <v>3065.181000000001</v>
      </c>
      <c r="Z26" s="68"/>
    </row>
    <row r="27" spans="1:26" ht="14.25" customHeight="1" thickBot="1">
      <c r="A27" s="35" t="s">
        <v>38</v>
      </c>
      <c r="B27" s="61" t="s">
        <v>49</v>
      </c>
      <c r="C27" s="62"/>
      <c r="D27" s="63"/>
      <c r="E27" s="74"/>
      <c r="F27" s="63"/>
      <c r="G27" s="63"/>
      <c r="H27" s="63"/>
      <c r="I27" s="86"/>
      <c r="J27" s="63"/>
      <c r="K27" s="88">
        <f aca="true" t="shared" si="7" ref="K27:X27">SUM(K7+K8-K9)-K26</f>
        <v>-3073.9459999999854</v>
      </c>
      <c r="L27" s="88">
        <f>SUM(L7+L8-L9)-L26</f>
        <v>-18868.09600000001</v>
      </c>
      <c r="M27" s="82">
        <f t="shared" si="7"/>
        <v>495.6355000000001</v>
      </c>
      <c r="N27" s="82">
        <f t="shared" si="7"/>
        <v>111.46550000000002</v>
      </c>
      <c r="O27" s="82">
        <f t="shared" si="7"/>
        <v>765.6755000000005</v>
      </c>
      <c r="P27" s="82">
        <f t="shared" si="7"/>
        <v>474.03550000000064</v>
      </c>
      <c r="Q27" s="82">
        <f t="shared" si="7"/>
        <v>-345.6144999999999</v>
      </c>
      <c r="R27" s="82">
        <f t="shared" si="7"/>
        <v>1654.6055000000003</v>
      </c>
      <c r="S27" s="82">
        <f t="shared" si="7"/>
        <v>419.99099999999964</v>
      </c>
      <c r="T27" s="82">
        <f t="shared" si="7"/>
        <v>-3701.8390000000004</v>
      </c>
      <c r="U27" s="82">
        <f t="shared" si="7"/>
        <v>865.1909999999999</v>
      </c>
      <c r="V27" s="82">
        <f t="shared" si="7"/>
        <v>1246.2810000000004</v>
      </c>
      <c r="W27" s="82">
        <f t="shared" si="7"/>
        <v>1610.2309999999998</v>
      </c>
      <c r="X27" s="82">
        <f t="shared" si="7"/>
        <v>1496.1509999999994</v>
      </c>
      <c r="Y27" s="81">
        <f t="shared" si="4"/>
        <v>5091.809</v>
      </c>
      <c r="Z27" s="68"/>
    </row>
    <row r="28" spans="1:26" ht="27.75" customHeight="1" thickBot="1">
      <c r="A28" s="89" t="s">
        <v>39</v>
      </c>
      <c r="B28" s="97" t="s">
        <v>21</v>
      </c>
      <c r="C28" s="98">
        <v>5586.52</v>
      </c>
      <c r="D28" s="99">
        <v>13686.25</v>
      </c>
      <c r="E28" s="100">
        <f>SUM(E7-E9)</f>
        <v>4755.9900000000125</v>
      </c>
      <c r="F28" s="101">
        <f>SUM(F7-F9)</f>
        <v>-6720.289999999986</v>
      </c>
      <c r="G28" s="101">
        <f>SUM(G7-G9)</f>
        <v>5802.390000000007</v>
      </c>
      <c r="H28" s="102">
        <f>SUM(H7-H9)-H26</f>
        <v>3516.004000000009</v>
      </c>
      <c r="I28" s="102">
        <f>SUM(I7-I9)-I26</f>
        <v>-9092.165999999994</v>
      </c>
      <c r="J28" s="103">
        <f>SUM(J7-J9)-J26</f>
        <v>1995.9640000000109</v>
      </c>
      <c r="K28" s="103">
        <f>SUM(K7+K8-K9)-K26</f>
        <v>-3073.9459999999854</v>
      </c>
      <c r="L28" s="103">
        <f>SUM(L7+L8-L9)-L26</f>
        <v>-18868.09600000001</v>
      </c>
      <c r="M28" s="104">
        <f>SUM(M7+M8-M9)-M26</f>
        <v>495.6355000000001</v>
      </c>
      <c r="N28" s="105">
        <f>SUM(N27+M28)</f>
        <v>607.1010000000001</v>
      </c>
      <c r="O28" s="105">
        <f aca="true" t="shared" si="8" ref="O28:X28">SUM(O27+N28)</f>
        <v>1372.7765000000006</v>
      </c>
      <c r="P28" s="105">
        <f t="shared" si="8"/>
        <v>1846.8120000000013</v>
      </c>
      <c r="Q28" s="105">
        <f t="shared" si="8"/>
        <v>1501.1975000000014</v>
      </c>
      <c r="R28" s="105">
        <f t="shared" si="8"/>
        <v>3155.8030000000017</v>
      </c>
      <c r="S28" s="105">
        <f t="shared" si="8"/>
        <v>3575.7940000000012</v>
      </c>
      <c r="T28" s="105">
        <f t="shared" si="8"/>
        <v>-126.04499999999916</v>
      </c>
      <c r="U28" s="105">
        <f t="shared" si="8"/>
        <v>739.1460000000008</v>
      </c>
      <c r="V28" s="105">
        <f t="shared" si="8"/>
        <v>1985.427000000001</v>
      </c>
      <c r="W28" s="105">
        <f t="shared" si="8"/>
        <v>3595.658000000001</v>
      </c>
      <c r="X28" s="105">
        <f t="shared" si="8"/>
        <v>5091.809</v>
      </c>
      <c r="Y28" s="101"/>
      <c r="Z28" s="106"/>
    </row>
    <row r="29" spans="1:26" ht="24.75" customHeight="1" thickBot="1">
      <c r="A29" s="35" t="s">
        <v>40</v>
      </c>
      <c r="B29" s="42" t="s">
        <v>22</v>
      </c>
      <c r="C29" s="38">
        <v>5586.52</v>
      </c>
      <c r="D29" s="42">
        <v>19272.77</v>
      </c>
      <c r="E29" s="17">
        <f>SUM(E7-E9,D29)</f>
        <v>24028.760000000013</v>
      </c>
      <c r="F29" s="57">
        <f>SUM(F7-F9,E29)</f>
        <v>17308.470000000027</v>
      </c>
      <c r="G29" s="57">
        <f>SUM(G7-G9,F29)</f>
        <v>23110.860000000033</v>
      </c>
      <c r="H29" s="80">
        <f aca="true" t="shared" si="9" ref="H29:M29">SUM(H28+G29)</f>
        <v>26626.86400000004</v>
      </c>
      <c r="I29" s="85">
        <f t="shared" si="9"/>
        <v>17534.698000000048</v>
      </c>
      <c r="J29" s="81">
        <f t="shared" si="9"/>
        <v>19530.66200000006</v>
      </c>
      <c r="K29" s="81">
        <f t="shared" si="9"/>
        <v>16456.716000000073</v>
      </c>
      <c r="L29" s="81">
        <f t="shared" si="9"/>
        <v>-2411.3799999999355</v>
      </c>
      <c r="M29" s="81">
        <f t="shared" si="9"/>
        <v>-1915.7444999999354</v>
      </c>
      <c r="N29" s="83">
        <f>SUM(N27+M29)</f>
        <v>-1804.2789999999354</v>
      </c>
      <c r="O29" s="83">
        <f aca="true" t="shared" si="10" ref="O29:W29">SUM(O27+N29)</f>
        <v>-1038.603499999935</v>
      </c>
      <c r="P29" s="83">
        <f t="shared" si="10"/>
        <v>-564.5679999999343</v>
      </c>
      <c r="Q29" s="83">
        <f t="shared" si="10"/>
        <v>-910.1824999999342</v>
      </c>
      <c r="R29" s="83">
        <f t="shared" si="10"/>
        <v>744.4230000000662</v>
      </c>
      <c r="S29" s="83">
        <f t="shared" si="10"/>
        <v>1164.4140000000657</v>
      </c>
      <c r="T29" s="83">
        <f t="shared" si="10"/>
        <v>-2537.4249999999347</v>
      </c>
      <c r="U29" s="83">
        <f t="shared" si="10"/>
        <v>-1672.233999999935</v>
      </c>
      <c r="V29" s="83">
        <f t="shared" si="10"/>
        <v>-425.9529999999345</v>
      </c>
      <c r="W29" s="83">
        <f t="shared" si="10"/>
        <v>1184.2780000000653</v>
      </c>
      <c r="X29" s="83">
        <f>SUM(X27+W29)</f>
        <v>2680.4290000000647</v>
      </c>
      <c r="Y29" s="57"/>
      <c r="Z29" s="52"/>
    </row>
    <row r="30" spans="1:26" ht="15" customHeight="1" hidden="1" thickBot="1">
      <c r="A30" s="35" t="s">
        <v>40</v>
      </c>
      <c r="B30" s="42" t="s">
        <v>6</v>
      </c>
      <c r="C30" s="39"/>
      <c r="D30" s="43"/>
      <c r="E30" s="43"/>
      <c r="F30" s="39"/>
      <c r="G30" s="39"/>
      <c r="H30" s="39"/>
      <c r="I30" s="39"/>
      <c r="J30" s="39"/>
      <c r="K30" s="39"/>
      <c r="L30" s="39"/>
      <c r="M30" s="12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9"/>
      <c r="Y30" s="57"/>
      <c r="Z30" s="53"/>
    </row>
    <row r="31" spans="1:26" ht="17.25" customHeight="1" hidden="1" thickBot="1">
      <c r="A31" s="35" t="s">
        <v>41</v>
      </c>
      <c r="B31" s="32" t="s">
        <v>23</v>
      </c>
      <c r="C31" s="39"/>
      <c r="D31" s="43"/>
      <c r="E31" s="43"/>
      <c r="F31" s="39"/>
      <c r="G31" s="39"/>
      <c r="H31" s="39"/>
      <c r="I31" s="39"/>
      <c r="J31" s="39"/>
      <c r="K31" s="39"/>
      <c r="L31" s="39"/>
      <c r="M31" s="12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9"/>
      <c r="Y31" s="58"/>
      <c r="Z31" s="54"/>
    </row>
    <row r="32" spans="1:26" ht="18.75" customHeight="1" hidden="1" thickBot="1">
      <c r="A32" s="36" t="s">
        <v>42</v>
      </c>
      <c r="B32" s="33" t="s">
        <v>46</v>
      </c>
      <c r="C32" s="40"/>
      <c r="D32" s="44"/>
      <c r="E32" s="44"/>
      <c r="F32" s="40"/>
      <c r="G32" s="40"/>
      <c r="H32" s="40"/>
      <c r="I32" s="40"/>
      <c r="J32" s="40"/>
      <c r="K32" s="40"/>
      <c r="L32" s="40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>
        <f>SUM(X28-X30)</f>
        <v>5091.809</v>
      </c>
      <c r="Y32" s="59"/>
      <c r="Z32" s="55"/>
    </row>
    <row r="33" spans="1:26" ht="15.75" customHeight="1" hidden="1" thickBot="1">
      <c r="A33" s="36" t="s">
        <v>45</v>
      </c>
      <c r="B33" s="33" t="s">
        <v>24</v>
      </c>
      <c r="C33" s="40"/>
      <c r="D33" s="44"/>
      <c r="E33" s="44"/>
      <c r="F33" s="40"/>
      <c r="G33" s="40"/>
      <c r="H33" s="40"/>
      <c r="I33" s="40"/>
      <c r="J33" s="40"/>
      <c r="K33" s="40"/>
      <c r="L33" s="40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>
        <f>SUM(X29-X30)</f>
        <v>2680.4290000000647</v>
      </c>
      <c r="Y33" s="59"/>
      <c r="Z33" s="55"/>
    </row>
    <row r="34" spans="3:26" ht="15.75" customHeight="1" hidden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</row>
    <row r="35" ht="16.5" customHeight="1" hidden="1"/>
    <row r="36" ht="12.75" hidden="1"/>
    <row r="37" ht="12.75" hidden="1"/>
    <row r="38" ht="12.75" hidden="1"/>
    <row r="39" ht="12.75">
      <c r="B39" t="s">
        <v>63</v>
      </c>
    </row>
    <row r="43" ht="12.75" customHeight="1"/>
    <row r="44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2020-02-21T06:55:12Z</cp:lastPrinted>
  <dcterms:created xsi:type="dcterms:W3CDTF">2011-06-16T11:06:26Z</dcterms:created>
  <dcterms:modified xsi:type="dcterms:W3CDTF">2020-02-21T06:55:13Z</dcterms:modified>
  <cp:category/>
  <cp:version/>
  <cp:contentType/>
  <cp:contentStatus/>
</cp:coreProperties>
</file>