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<sst xmlns="http://schemas.openxmlformats.org/spreadsheetml/2006/main" count="80" uniqueCount="79">
  <si>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</si>
  <si>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</si>
  <si>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</si>
  <si>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</si>
  <si>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</si>
  <si>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</si>
  <si>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</si>
  <si>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</si>
  <si>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</si>
  <si>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</si>
  <si>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</si>
  <si>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</si>
  <si>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</si>
  <si>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</si>
  <si>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</si>
  <si>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</si>
  <si>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</si>
  <si>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</si>
  <si>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</si>
  <si>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</si>
  <si>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</si>
  <si>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</si>
  <si>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</si>
  <si>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</si>
  <si>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</si>
  <si>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</si>
  <si>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</si>
  <si>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</si>
  <si>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</si>
  <si>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</si>
  <si>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</si>
  <si>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</si>
  <si>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4.6</t>
  </si>
  <si>
    <t>4.7</t>
  </si>
  <si>
    <t>4.8</t>
  </si>
  <si>
    <t>4.9</t>
  </si>
  <si>
    <t>4.11</t>
  </si>
  <si>
    <t>5</t>
  </si>
  <si>
    <t>6</t>
  </si>
  <si>
    <t>7</t>
  </si>
  <si>
    <t>8</t>
  </si>
  <si>
    <t>9</t>
  </si>
  <si>
    <t>10</t>
  </si>
  <si>
    <t>Финансовый результат по дому с начала года</t>
  </si>
  <si>
    <t>Итого  за 2011 г</t>
  </si>
  <si>
    <t>Результат за месяц</t>
  </si>
  <si>
    <t>по жилому дому г. Унеча ул. Горького д.7</t>
  </si>
  <si>
    <t>Итого  за 2012 г</t>
  </si>
  <si>
    <t>Благоустройство территории</t>
  </si>
  <si>
    <t>4.12</t>
  </si>
  <si>
    <t xml:space="preserve">Материалы </t>
  </si>
  <si>
    <t>4.13</t>
  </si>
  <si>
    <t>4.14</t>
  </si>
  <si>
    <t>4.15</t>
  </si>
  <si>
    <t>Итого  за 2013 г</t>
  </si>
  <si>
    <t>Итого  за 2014 г</t>
  </si>
  <si>
    <t>рентабельность 5%</t>
  </si>
  <si>
    <t>Итого  за 2015 г</t>
  </si>
  <si>
    <t>4.4</t>
  </si>
  <si>
    <t>Транспортные(ГСМ,зап.части,амортизация,страхование ит.д.)</t>
  </si>
  <si>
    <t xml:space="preserve">Расходы на управление,аренда, связь </t>
  </si>
  <si>
    <t>Исполнитель  вед. экономист /Викторова Л.С./</t>
  </si>
  <si>
    <t xml:space="preserve">Услуги агентские,охрана труда,отопление, хол.вода, эл.энегрия   </t>
  </si>
  <si>
    <t>Услуги сторонних организаций</t>
  </si>
  <si>
    <t>Проверка вент. каналов</t>
  </si>
  <si>
    <t>Итого  за 2016 г</t>
  </si>
  <si>
    <t>Итого  за 2017 г</t>
  </si>
  <si>
    <t>Начислено СОИД</t>
  </si>
  <si>
    <t>Электроэнергия  СОИД</t>
  </si>
  <si>
    <t>Горячая вода СОИД</t>
  </si>
  <si>
    <t>Холодная вода СОИД</t>
  </si>
  <si>
    <t>Канализация СОИД</t>
  </si>
  <si>
    <t>Начислено  нежилые</t>
  </si>
  <si>
    <t>Итого  за 2018 г</t>
  </si>
  <si>
    <t>Итого  за 2019 г</t>
  </si>
  <si>
    <t>Всего за 2011-2019</t>
  </si>
  <si>
    <t>Вывоз ТБО (Утилизация)</t>
  </si>
  <si>
    <t>Дом по ул.Горького д 7 вступил в ООО "Наш дом" с ноября 2011 года                    тариф 10,35 руб. с января 2019 года тариф 9,6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</si>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</sst>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wrapText="1"/>
    </xf>
    <xf numFmtId="0" fontId="21" fillId="0" borderId="28" xfId="0" applyFont="1" applyBorder="1" applyAlignment="1">
      <alignment horizontal="left" wrapText="1"/>
    </xf>
    <xf numFmtId="49" fontId="21" fillId="0" borderId="27" xfId="0" applyNumberFormat="1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2" borderId="30" xfId="0" applyFont="1" applyFill="1" applyBorder="1" applyAlignment="1">
      <alignment wrapText="1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21" fillId="0" borderId="34" xfId="0" applyFont="1" applyBorder="1" applyAlignment="1">
      <alignment wrapText="1"/>
    </xf>
    <xf numFmtId="0" fontId="21" fillId="0" borderId="20" xfId="0" applyFont="1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2" borderId="26" xfId="0" applyFill="1" applyBorder="1" applyAlignment="1">
      <alignment/>
    </xf>
    <xf numFmtId="0" fontId="19" fillId="0" borderId="34" xfId="0" applyFont="1" applyBorder="1" applyAlignment="1">
      <alignment horizontal="center" vertical="center" wrapText="1"/>
    </xf>
    <xf numFmtId="0" fontId="21" fillId="0" borderId="36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7" xfId="0" applyFont="1" applyBorder="1" applyAlignment="1">
      <alignment/>
    </xf>
    <xf numFmtId="0" fontId="20" fillId="2" borderId="38" xfId="0" applyFont="1" applyFill="1" applyBorder="1" applyAlignment="1">
      <alignment/>
    </xf>
    <xf numFmtId="0" fontId="21" fillId="0" borderId="35" xfId="0" applyFont="1" applyBorder="1" applyAlignment="1">
      <alignment wrapText="1"/>
    </xf>
    <xf numFmtId="0" fontId="25" fillId="0" borderId="39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0" fontId="21" fillId="0" borderId="43" xfId="0" applyFont="1" applyBorder="1" applyAlignment="1">
      <alignment wrapText="1"/>
    </xf>
    <xf numFmtId="0" fontId="21" fillId="2" borderId="43" xfId="0" applyFont="1" applyFill="1" applyBorder="1" applyAlignment="1">
      <alignment wrapText="1"/>
    </xf>
    <xf numFmtId="0" fontId="21" fillId="0" borderId="31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8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21" fillId="0" borderId="40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1" xfId="0" applyFont="1" applyBorder="1" applyAlignment="1">
      <alignment/>
    </xf>
    <xf numFmtId="0" fontId="20" fillId="0" borderId="26" xfId="0" applyFont="1" applyBorder="1" applyAlignment="1">
      <alignment/>
    </xf>
    <xf numFmtId="0" fontId="25" fillId="0" borderId="31" xfId="0" applyFont="1" applyBorder="1" applyAlignment="1">
      <alignment wrapText="1"/>
    </xf>
    <xf numFmtId="2" fontId="21" fillId="0" borderId="36" xfId="0" applyNumberFormat="1" applyFont="1" applyBorder="1" applyAlignment="1">
      <alignment horizontal="right" wrapText="1"/>
    </xf>
    <xf numFmtId="2" fontId="21" fillId="0" borderId="32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7" xfId="0" applyNumberFormat="1" applyFont="1" applyBorder="1" applyAlignment="1">
      <alignment horizontal="right" wrapText="1"/>
    </xf>
    <xf numFmtId="0" fontId="26" fillId="0" borderId="31" xfId="0" applyFont="1" applyBorder="1" applyAlignment="1">
      <alignment/>
    </xf>
    <xf numFmtId="2" fontId="26" fillId="0" borderId="34" xfId="0" applyNumberFormat="1" applyFont="1" applyBorder="1" applyAlignment="1">
      <alignment/>
    </xf>
    <xf numFmtId="2" fontId="26" fillId="0" borderId="45" xfId="0" applyNumberFormat="1" applyFont="1" applyBorder="1" applyAlignment="1">
      <alignment/>
    </xf>
    <xf numFmtId="2" fontId="21" fillId="0" borderId="46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2" fontId="21" fillId="0" borderId="20" xfId="0" applyNumberFormat="1" applyFont="1" applyBorder="1" applyAlignment="1">
      <alignment/>
    </xf>
    <xf numFmtId="0" fontId="24" fillId="0" borderId="35" xfId="0" applyFont="1" applyBorder="1" applyAlignment="1">
      <alignment wrapText="1"/>
    </xf>
    <xf numFmtId="0" fontId="25" fillId="0" borderId="42" xfId="0" applyFont="1" applyBorder="1" applyAlignment="1">
      <alignment wrapText="1"/>
    </xf>
    <xf numFmtId="0" fontId="25" fillId="0" borderId="37" xfId="0" applyFont="1" applyBorder="1" applyAlignment="1">
      <alignment wrapText="1"/>
    </xf>
    <xf numFmtId="0" fontId="21" fillId="0" borderId="47" xfId="0" applyFont="1" applyBorder="1" applyAlignment="1">
      <alignment/>
    </xf>
    <xf numFmtId="0" fontId="24" fillId="0" borderId="32" xfId="0" applyFont="1" applyBorder="1" applyAlignment="1">
      <alignment wrapText="1"/>
    </xf>
    <xf numFmtId="0" fontId="25" fillId="0" borderId="40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19" fillId="0" borderId="26" xfId="0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/>
    </xf>
    <xf numFmtId="0" fontId="19" fillId="0" borderId="26" xfId="0" applyFont="1" applyBorder="1" applyAlignment="1">
      <alignment wrapText="1"/>
    </xf>
    <xf numFmtId="0" fontId="27" fillId="0" borderId="44" xfId="0" applyFont="1" applyBorder="1" applyAlignment="1">
      <alignment/>
    </xf>
    <xf numFmtId="0" fontId="27" fillId="0" borderId="34" xfId="0" applyFont="1" applyBorder="1" applyAlignment="1">
      <alignment/>
    </xf>
    <xf numFmtId="2" fontId="28" fillId="0" borderId="34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7" fillId="0" borderId="34" xfId="0" applyFont="1" applyBorder="1" applyAlignment="1">
      <alignment wrapText="1"/>
    </xf>
    <xf numFmtId="0" fontId="27" fillId="0" borderId="20" xfId="0" applyFont="1" applyBorder="1" applyAlignment="1">
      <alignment/>
    </xf>
    <xf numFmtId="2" fontId="27" fillId="0" borderId="34" xfId="0" applyNumberFormat="1" applyFont="1" applyBorder="1" applyAlignment="1">
      <alignment/>
    </xf>
    <xf numFmtId="0" fontId="27" fillId="0" borderId="2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B7">
      <selection activeCell="K41" sqref="K41"/>
    </sheetView>
  </sheetViews>
  <sheetFormatPr defaultColWidth="9.00390625" defaultRowHeight="12.75"/>
  <cols>
    <col min="1" max="1" width="3.875" style="25" hidden="1" customWidth="1"/>
    <col min="2" max="2" width="22.75390625" style="0" customWidth="1"/>
    <col min="3" max="3" width="9.25390625" style="0" hidden="1" customWidth="1"/>
    <col min="4" max="6" width="9.75390625" style="0" hidden="1" customWidth="1"/>
    <col min="7" max="8" width="8.875" style="0" hidden="1" customWidth="1"/>
    <col min="9" max="9" width="8.625" style="0" hidden="1" customWidth="1"/>
    <col min="10" max="10" width="9.125" style="0" hidden="1" customWidth="1"/>
    <col min="11" max="11" width="8.25390625" style="0" customWidth="1"/>
    <col min="12" max="12" width="8.875" style="0" customWidth="1"/>
    <col min="13" max="13" width="8.625" style="0" customWidth="1"/>
    <col min="14" max="15" width="8.25390625" style="0" customWidth="1"/>
    <col min="16" max="16" width="8.625" style="0" customWidth="1"/>
    <col min="17" max="17" width="8.00390625" style="0" customWidth="1"/>
    <col min="18" max="18" width="8.625" style="0" customWidth="1"/>
    <col min="19" max="19" width="8.75390625" style="0" customWidth="1"/>
    <col min="20" max="20" width="8.25390625" style="0" customWidth="1"/>
    <col min="21" max="21" width="8.00390625" style="0" customWidth="1"/>
    <col min="22" max="23" width="8.75390625" style="0" customWidth="1"/>
    <col min="24" max="24" width="10.125" style="0" customWidth="1"/>
  </cols>
  <sheetData>
    <row r="1" spans="2:29" ht="12.75" customHeight="1">
      <c r="B1" s="93" t="s">
        <v>78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7.25" customHeight="1">
      <c r="B2" s="93" t="s">
        <v>77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4"/>
      <c r="V2" s="94"/>
      <c r="W2" s="94"/>
      <c r="X2" s="94"/>
      <c r="Y2" s="4"/>
      <c r="Z2" s="4"/>
      <c r="AA2" s="4"/>
      <c r="AB2" s="4"/>
      <c r="AC2" s="4"/>
    </row>
    <row r="3" spans="2:29" ht="12.75" customHeight="1"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3"/>
      <c r="Z3" s="3"/>
      <c r="AA3" s="3"/>
      <c r="AB3" s="3"/>
      <c r="AC3" s="3"/>
    </row>
    <row r="4" spans="2:29" ht="12" customHeight="1">
      <c r="B4" s="91" t="s">
        <v>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2"/>
      <c r="Z4" s="2"/>
      <c r="AA4" s="2"/>
      <c r="AB4" s="2"/>
      <c r="AC4" s="2"/>
    </row>
    <row r="5" spans="2:29" ht="16.5" customHeight="1" thickBot="1">
      <c r="B5" s="91" t="s">
        <v>46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2"/>
      <c r="Z5" s="2"/>
      <c r="AA5" s="2"/>
      <c r="AB5" s="2"/>
      <c r="AC5" s="2"/>
    </row>
    <row r="6" spans="2:29" ht="8.2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</row>
    <row r="7" spans="1:29" ht="30" customHeight="1" thickBot="1">
      <c r="A7" s="34" t="s">
        <v>26</v>
      </c>
      <c r="B7" s="26" t="s">
        <v>6</v>
      </c>
      <c r="C7" s="42" t="s">
        <v>44</v>
      </c>
      <c r="D7" s="42" t="s">
        <v>47</v>
      </c>
      <c r="E7" s="42" t="s">
        <v>54</v>
      </c>
      <c r="F7" s="42" t="s">
        <v>55</v>
      </c>
      <c r="G7" s="42" t="s">
        <v>57</v>
      </c>
      <c r="H7" s="42" t="s">
        <v>65</v>
      </c>
      <c r="I7" s="42" t="s">
        <v>66</v>
      </c>
      <c r="J7" s="42" t="s">
        <v>73</v>
      </c>
      <c r="K7" s="59" t="s">
        <v>10</v>
      </c>
      <c r="L7" s="42" t="s">
        <v>11</v>
      </c>
      <c r="M7" s="6" t="s">
        <v>12</v>
      </c>
      <c r="N7" s="5" t="s">
        <v>13</v>
      </c>
      <c r="O7" s="5" t="s">
        <v>14</v>
      </c>
      <c r="P7" s="5" t="s">
        <v>15</v>
      </c>
      <c r="Q7" s="5" t="s">
        <v>16</v>
      </c>
      <c r="R7" s="5" t="s">
        <v>17</v>
      </c>
      <c r="S7" s="5" t="s">
        <v>18</v>
      </c>
      <c r="T7" s="5" t="s">
        <v>19</v>
      </c>
      <c r="U7" s="5" t="s">
        <v>21</v>
      </c>
      <c r="V7" s="15" t="s">
        <v>20</v>
      </c>
      <c r="W7" s="42" t="s">
        <v>74</v>
      </c>
      <c r="X7" s="84" t="s">
        <v>75</v>
      </c>
      <c r="Y7" s="1"/>
      <c r="Z7" s="1"/>
      <c r="AA7" s="1"/>
      <c r="AB7" s="1"/>
      <c r="AC7" s="1"/>
    </row>
    <row r="8" spans="1:24" ht="13.5" thickBot="1">
      <c r="A8" s="35" t="s">
        <v>27</v>
      </c>
      <c r="B8" s="27" t="s">
        <v>1</v>
      </c>
      <c r="C8" s="48">
        <v>61046.58</v>
      </c>
      <c r="D8" s="64">
        <v>374303.2</v>
      </c>
      <c r="E8" s="64">
        <v>368661.23</v>
      </c>
      <c r="F8" s="64">
        <v>366935.91</v>
      </c>
      <c r="G8" s="64">
        <v>366946.26</v>
      </c>
      <c r="H8" s="64">
        <v>367338.57</v>
      </c>
      <c r="I8" s="64">
        <v>367022.84</v>
      </c>
      <c r="J8" s="64">
        <v>367008.36</v>
      </c>
      <c r="K8" s="55">
        <v>28370.88</v>
      </c>
      <c r="L8" s="55">
        <v>28361.28</v>
      </c>
      <c r="M8" s="55">
        <v>28361.28</v>
      </c>
      <c r="N8" s="55">
        <v>28361.28</v>
      </c>
      <c r="O8" s="55">
        <v>28361.28</v>
      </c>
      <c r="P8" s="55">
        <v>28361.28</v>
      </c>
      <c r="Q8" s="55">
        <v>28361.28</v>
      </c>
      <c r="R8" s="55">
        <v>28362.24</v>
      </c>
      <c r="S8" s="55">
        <v>28362.24</v>
      </c>
      <c r="T8" s="55">
        <v>28362.24</v>
      </c>
      <c r="U8" s="55">
        <v>28362.24</v>
      </c>
      <c r="V8" s="55">
        <v>28362.24</v>
      </c>
      <c r="W8" s="43">
        <f>SUM(K8:V8)</f>
        <v>340349.75999999995</v>
      </c>
      <c r="X8" s="69">
        <f aca="true" t="shared" si="0" ref="X8:X13">SUM(C8:V8)</f>
        <v>2979612.7099999995</v>
      </c>
    </row>
    <row r="9" spans="1:24" ht="13.5" thickBot="1">
      <c r="A9" s="35"/>
      <c r="B9" s="81" t="s">
        <v>67</v>
      </c>
      <c r="C9" s="82"/>
      <c r="D9" s="83"/>
      <c r="E9" s="83"/>
      <c r="F9" s="83"/>
      <c r="G9" s="83"/>
      <c r="H9" s="83">
        <v>0</v>
      </c>
      <c r="I9" s="83">
        <v>33889.51</v>
      </c>
      <c r="J9" s="83">
        <v>25736.8</v>
      </c>
      <c r="K9" s="56">
        <f>93.82+136.87+436.09</f>
        <v>666.78</v>
      </c>
      <c r="L9" s="56">
        <f>93.82+136.87+436.09</f>
        <v>666.78</v>
      </c>
      <c r="M9" s="56">
        <f>93.83+136.84+436.17</f>
        <v>666.84</v>
      </c>
      <c r="N9" s="56">
        <f>93.83+136.84+436.17</f>
        <v>666.84</v>
      </c>
      <c r="O9" s="56">
        <f>93.83+136.84+436.17</f>
        <v>666.84</v>
      </c>
      <c r="P9" s="56">
        <f>93.83+136.84+436.17</f>
        <v>666.84</v>
      </c>
      <c r="Q9" s="10">
        <f>95.61+152.19+444.16</f>
        <v>691.96</v>
      </c>
      <c r="R9" s="10">
        <f>95.61+152.19+444.16</f>
        <v>691.96</v>
      </c>
      <c r="S9" s="10">
        <f>95.6+152.2+444.17</f>
        <v>691.97</v>
      </c>
      <c r="T9" s="10">
        <f>95.6+152.2+444.17</f>
        <v>691.97</v>
      </c>
      <c r="U9" s="10">
        <f>95.6+152.2+444.17</f>
        <v>691.97</v>
      </c>
      <c r="V9" s="10">
        <f>95.6+152.2+444.17</f>
        <v>691.97</v>
      </c>
      <c r="W9" s="43">
        <f>SUM(K9:V9)</f>
        <v>8152.720000000002</v>
      </c>
      <c r="X9" s="69">
        <f t="shared" si="0"/>
        <v>67779.02999999998</v>
      </c>
    </row>
    <row r="10" spans="1:24" ht="13.5" thickBot="1">
      <c r="A10" s="35"/>
      <c r="B10" s="77" t="s">
        <v>72</v>
      </c>
      <c r="C10" s="78"/>
      <c r="D10" s="79"/>
      <c r="E10" s="79"/>
      <c r="F10" s="79"/>
      <c r="G10" s="79"/>
      <c r="H10" s="79"/>
      <c r="I10" s="79">
        <v>1385.76</v>
      </c>
      <c r="J10" s="79">
        <v>8331.42</v>
      </c>
      <c r="K10" s="45">
        <v>651.07</v>
      </c>
      <c r="L10" s="45">
        <v>651.07</v>
      </c>
      <c r="M10" s="45">
        <v>651.07</v>
      </c>
      <c r="N10" s="45">
        <v>651.07</v>
      </c>
      <c r="O10" s="45">
        <v>651.07</v>
      </c>
      <c r="P10" s="45">
        <v>651.07</v>
      </c>
      <c r="Q10" s="80">
        <v>653.63</v>
      </c>
      <c r="R10" s="80">
        <v>653.63</v>
      </c>
      <c r="S10" s="80">
        <v>653.63</v>
      </c>
      <c r="T10" s="80">
        <v>653.63</v>
      </c>
      <c r="U10" s="80">
        <v>653.63</v>
      </c>
      <c r="V10" s="80">
        <v>653.63</v>
      </c>
      <c r="W10" s="43">
        <f>SUM(K10:V10)</f>
        <v>7828.200000000001</v>
      </c>
      <c r="X10" s="69">
        <f t="shared" si="0"/>
        <v>17545.379999999997</v>
      </c>
    </row>
    <row r="11" spans="1:24" s="90" customFormat="1" ht="13.5" thickBot="1">
      <c r="A11" s="85" t="s">
        <v>28</v>
      </c>
      <c r="B11" s="86" t="s">
        <v>2</v>
      </c>
      <c r="C11" s="87">
        <f aca="true" t="shared" si="1" ref="C11:K11">SUM(C12:C27)</f>
        <v>46814.509999999995</v>
      </c>
      <c r="D11" s="88">
        <f t="shared" si="1"/>
        <v>296383.19</v>
      </c>
      <c r="E11" s="88">
        <f t="shared" si="1"/>
        <v>346099.3</v>
      </c>
      <c r="F11" s="88">
        <f t="shared" si="1"/>
        <v>324022.91000000003</v>
      </c>
      <c r="G11" s="88">
        <f t="shared" si="1"/>
        <v>341144.16</v>
      </c>
      <c r="H11" s="88">
        <f>SUM(H12:H27)</f>
        <v>369818.94</v>
      </c>
      <c r="I11" s="88">
        <f>SUM(I12:I27)</f>
        <v>372976.04000000004</v>
      </c>
      <c r="J11" s="88">
        <f t="shared" si="1"/>
        <v>379844.04000000004</v>
      </c>
      <c r="K11" s="88">
        <f t="shared" si="1"/>
        <v>22480.63</v>
      </c>
      <c r="L11" s="88">
        <f aca="true" t="shared" si="2" ref="L11:V11">SUM(L12:L27)</f>
        <v>21311.13</v>
      </c>
      <c r="M11" s="88">
        <f t="shared" si="2"/>
        <v>21526.54</v>
      </c>
      <c r="N11" s="88">
        <f t="shared" si="2"/>
        <v>22549.87</v>
      </c>
      <c r="O11" s="88">
        <f t="shared" si="2"/>
        <v>22007.4</v>
      </c>
      <c r="P11" s="88">
        <f t="shared" si="2"/>
        <v>24006.19</v>
      </c>
      <c r="Q11" s="88">
        <f t="shared" si="2"/>
        <v>25996.04</v>
      </c>
      <c r="R11" s="88">
        <f t="shared" si="2"/>
        <v>21552.72</v>
      </c>
      <c r="S11" s="88">
        <f t="shared" si="2"/>
        <v>22743.379999999997</v>
      </c>
      <c r="T11" s="88">
        <f t="shared" si="2"/>
        <v>23903.83</v>
      </c>
      <c r="U11" s="88">
        <f t="shared" si="2"/>
        <v>22006.8</v>
      </c>
      <c r="V11" s="88">
        <f t="shared" si="2"/>
        <v>29664.439999999995</v>
      </c>
      <c r="W11" s="88">
        <f>SUM(K11:V11)</f>
        <v>279748.97000000003</v>
      </c>
      <c r="X11" s="89">
        <f t="shared" si="0"/>
        <v>2756852.0599999996</v>
      </c>
    </row>
    <row r="12" spans="1:24" ht="13.5" thickBot="1">
      <c r="A12" s="35" t="s">
        <v>29</v>
      </c>
      <c r="B12" s="29" t="s">
        <v>76</v>
      </c>
      <c r="C12" s="49">
        <v>10338.92</v>
      </c>
      <c r="D12" s="65">
        <v>66020.06</v>
      </c>
      <c r="E12" s="49">
        <v>78767.23</v>
      </c>
      <c r="F12" s="49">
        <v>84790.82</v>
      </c>
      <c r="G12" s="49">
        <v>80521.09</v>
      </c>
      <c r="H12" s="49">
        <v>79669.15</v>
      </c>
      <c r="I12" s="49">
        <v>79871.97</v>
      </c>
      <c r="J12" s="49">
        <v>75853.29</v>
      </c>
      <c r="K12" s="61"/>
      <c r="L12" s="43"/>
      <c r="M12" s="7"/>
      <c r="N12" s="8">
        <v>151.46</v>
      </c>
      <c r="O12" s="8">
        <v>116.67</v>
      </c>
      <c r="P12" s="8">
        <v>47.49</v>
      </c>
      <c r="Q12" s="8">
        <v>125.14</v>
      </c>
      <c r="R12" s="8">
        <v>91.68</v>
      </c>
      <c r="S12" s="8">
        <v>22.97</v>
      </c>
      <c r="T12" s="8">
        <v>82.14</v>
      </c>
      <c r="U12" s="8">
        <v>68.38</v>
      </c>
      <c r="V12" s="16">
        <v>46.32</v>
      </c>
      <c r="W12" s="44">
        <f aca="true" t="shared" si="3" ref="W12:W29">SUM(K12:V12)</f>
        <v>752.2500000000001</v>
      </c>
      <c r="X12" s="70">
        <f t="shared" si="0"/>
        <v>556584.78</v>
      </c>
    </row>
    <row r="13" spans="1:24" ht="21" customHeight="1" thickBot="1">
      <c r="A13" s="35" t="s">
        <v>30</v>
      </c>
      <c r="B13" s="30" t="s">
        <v>63</v>
      </c>
      <c r="C13" s="50">
        <v>635.26</v>
      </c>
      <c r="D13" s="66">
        <f>3764.4+5418</f>
        <v>9182.4</v>
      </c>
      <c r="E13" s="50">
        <f>2629.74+12410.74</f>
        <v>15040.48</v>
      </c>
      <c r="F13" s="50">
        <v>773.62</v>
      </c>
      <c r="G13" s="50">
        <v>8183.6</v>
      </c>
      <c r="H13" s="50">
        <v>6260.81</v>
      </c>
      <c r="I13" s="50">
        <v>1289.8</v>
      </c>
      <c r="J13" s="50">
        <v>4872.8</v>
      </c>
      <c r="K13" s="60"/>
      <c r="L13" s="56"/>
      <c r="M13" s="9"/>
      <c r="N13" s="10"/>
      <c r="O13" s="10"/>
      <c r="P13" s="10"/>
      <c r="Q13" s="10"/>
      <c r="R13" s="10"/>
      <c r="S13" s="10"/>
      <c r="T13" s="10"/>
      <c r="U13" s="10"/>
      <c r="V13" s="17"/>
      <c r="W13" s="44">
        <f t="shared" si="3"/>
        <v>0</v>
      </c>
      <c r="X13" s="70">
        <f t="shared" si="0"/>
        <v>46238.770000000004</v>
      </c>
    </row>
    <row r="14" spans="1:24" ht="12.75" customHeight="1" thickBot="1">
      <c r="A14" s="35" t="s">
        <v>31</v>
      </c>
      <c r="B14" s="28" t="s">
        <v>4</v>
      </c>
      <c r="C14" s="50">
        <v>480.46</v>
      </c>
      <c r="D14" s="66">
        <v>0</v>
      </c>
      <c r="E14" s="50">
        <v>0</v>
      </c>
      <c r="F14" s="50">
        <v>9597.4</v>
      </c>
      <c r="G14" s="50">
        <v>0</v>
      </c>
      <c r="H14" s="50">
        <v>0</v>
      </c>
      <c r="I14" s="50">
        <v>10464.7</v>
      </c>
      <c r="J14" s="50">
        <v>8176.91</v>
      </c>
      <c r="K14" s="60"/>
      <c r="L14" s="56"/>
      <c r="M14" s="9"/>
      <c r="N14" s="10"/>
      <c r="O14" s="10"/>
      <c r="P14" s="10"/>
      <c r="Q14" s="10"/>
      <c r="R14" s="10"/>
      <c r="S14" s="10"/>
      <c r="T14" s="10"/>
      <c r="U14" s="10"/>
      <c r="V14" s="17">
        <v>6995.9</v>
      </c>
      <c r="W14" s="44">
        <f t="shared" si="3"/>
        <v>6995.9</v>
      </c>
      <c r="X14" s="70">
        <f aca="true" t="shared" si="4" ref="X14:X27">SUM(C14:V14)</f>
        <v>35715.369999999995</v>
      </c>
    </row>
    <row r="15" spans="1:24" ht="13.5" customHeight="1" thickBot="1">
      <c r="A15" s="35" t="s">
        <v>58</v>
      </c>
      <c r="B15" s="28" t="s">
        <v>64</v>
      </c>
      <c r="C15" s="50"/>
      <c r="D15" s="66"/>
      <c r="E15" s="50"/>
      <c r="F15" s="50"/>
      <c r="G15" s="50">
        <v>2200</v>
      </c>
      <c r="H15" s="50">
        <v>3700</v>
      </c>
      <c r="I15" s="50">
        <v>2800</v>
      </c>
      <c r="J15" s="50">
        <v>2500</v>
      </c>
      <c r="K15" s="60"/>
      <c r="L15" s="56"/>
      <c r="M15" s="9"/>
      <c r="N15" s="10"/>
      <c r="O15" s="10"/>
      <c r="P15" s="10">
        <v>2800</v>
      </c>
      <c r="Q15" s="10"/>
      <c r="R15" s="10"/>
      <c r="S15" s="10"/>
      <c r="T15" s="10"/>
      <c r="U15" s="10"/>
      <c r="V15" s="17"/>
      <c r="W15" s="44">
        <f>SUM(K15:V15)</f>
        <v>2800</v>
      </c>
      <c r="X15" s="70">
        <f>SUM(C15:V15)</f>
        <v>14000</v>
      </c>
    </row>
    <row r="16" spans="1:24" ht="12.75" customHeight="1" thickBot="1">
      <c r="A16" s="35" t="s">
        <v>32</v>
      </c>
      <c r="B16" s="30" t="s">
        <v>50</v>
      </c>
      <c r="C16" s="50">
        <v>0</v>
      </c>
      <c r="D16" s="66">
        <v>14475.26</v>
      </c>
      <c r="E16" s="50">
        <v>41413.18</v>
      </c>
      <c r="F16" s="50">
        <v>16177.38</v>
      </c>
      <c r="G16" s="50">
        <v>11199.81</v>
      </c>
      <c r="H16" s="50">
        <v>45829.69</v>
      </c>
      <c r="I16" s="50">
        <v>14718.01</v>
      </c>
      <c r="J16" s="50">
        <v>16228.47</v>
      </c>
      <c r="K16" s="60">
        <v>75</v>
      </c>
      <c r="L16" s="56"/>
      <c r="M16" s="9">
        <f>201+370</f>
        <v>571</v>
      </c>
      <c r="N16" s="10"/>
      <c r="O16" s="10">
        <v>216.41</v>
      </c>
      <c r="P16" s="10">
        <v>664.8</v>
      </c>
      <c r="Q16" s="10">
        <f>1001.9+350</f>
        <v>1351.9</v>
      </c>
      <c r="R16" s="10">
        <v>385</v>
      </c>
      <c r="S16" s="10">
        <f>946.42+700</f>
        <v>1646.42</v>
      </c>
      <c r="T16" s="10">
        <v>150</v>
      </c>
      <c r="U16" s="10"/>
      <c r="V16" s="17">
        <v>200</v>
      </c>
      <c r="W16" s="44">
        <f t="shared" si="3"/>
        <v>5260.530000000001</v>
      </c>
      <c r="X16" s="70">
        <f t="shared" si="4"/>
        <v>165302.33000000002</v>
      </c>
    </row>
    <row r="17" spans="1:24" ht="11.25" customHeight="1" thickBot="1">
      <c r="A17" s="35" t="s">
        <v>33</v>
      </c>
      <c r="B17" s="30" t="s">
        <v>68</v>
      </c>
      <c r="C17" s="50">
        <v>1529.67</v>
      </c>
      <c r="D17" s="66">
        <v>4761.3</v>
      </c>
      <c r="E17" s="50">
        <v>0</v>
      </c>
      <c r="F17" s="50"/>
      <c r="G17" s="50">
        <v>0</v>
      </c>
      <c r="H17" s="50">
        <v>0</v>
      </c>
      <c r="I17" s="50">
        <v>26125.97</v>
      </c>
      <c r="J17" s="50">
        <v>17913.24</v>
      </c>
      <c r="K17" s="60"/>
      <c r="L17" s="56"/>
      <c r="M17" s="56"/>
      <c r="N17" s="56"/>
      <c r="O17" s="56"/>
      <c r="P17" s="56"/>
      <c r="Q17" s="10"/>
      <c r="R17" s="10"/>
      <c r="S17" s="10"/>
      <c r="T17" s="10"/>
      <c r="U17" s="10"/>
      <c r="V17" s="17"/>
      <c r="W17" s="44">
        <f t="shared" si="3"/>
        <v>0</v>
      </c>
      <c r="X17" s="70">
        <f t="shared" si="4"/>
        <v>50330.18000000001</v>
      </c>
    </row>
    <row r="18" spans="1:24" ht="12.75" customHeight="1" thickBot="1">
      <c r="A18" s="35"/>
      <c r="B18" s="30" t="s">
        <v>70</v>
      </c>
      <c r="C18" s="50"/>
      <c r="D18" s="66"/>
      <c r="E18" s="50"/>
      <c r="F18" s="50"/>
      <c r="G18" s="50"/>
      <c r="H18" s="50"/>
      <c r="I18" s="50">
        <v>1109.13</v>
      </c>
      <c r="J18" s="50">
        <v>1145.82</v>
      </c>
      <c r="K18" s="60">
        <v>95.78</v>
      </c>
      <c r="L18" s="60">
        <v>95.78</v>
      </c>
      <c r="M18" s="60">
        <v>95.78</v>
      </c>
      <c r="N18" s="60">
        <v>95.78</v>
      </c>
      <c r="O18" s="60">
        <v>95.78</v>
      </c>
      <c r="P18" s="60">
        <v>95.78</v>
      </c>
      <c r="Q18" s="60">
        <v>95.78</v>
      </c>
      <c r="R18" s="10">
        <v>99.28</v>
      </c>
      <c r="S18" s="10">
        <v>97.53</v>
      </c>
      <c r="T18" s="10">
        <v>97.53</v>
      </c>
      <c r="U18" s="10">
        <v>97.53</v>
      </c>
      <c r="V18" s="10">
        <v>97.53</v>
      </c>
      <c r="W18" s="44">
        <f>SUM(K18:V18)</f>
        <v>1159.86</v>
      </c>
      <c r="X18" s="70">
        <f>SUM(C18:V18)</f>
        <v>3414.810000000002</v>
      </c>
    </row>
    <row r="19" spans="1:24" ht="12" customHeight="1" thickBot="1">
      <c r="A19" s="35"/>
      <c r="B19" s="30" t="s">
        <v>69</v>
      </c>
      <c r="C19" s="50"/>
      <c r="D19" s="66"/>
      <c r="E19" s="50"/>
      <c r="F19" s="50"/>
      <c r="G19" s="50"/>
      <c r="H19" s="50"/>
      <c r="I19" s="50">
        <v>5924.18</v>
      </c>
      <c r="J19" s="50">
        <v>5001.48</v>
      </c>
      <c r="K19" s="60">
        <v>445.08</v>
      </c>
      <c r="L19" s="60">
        <v>445.08</v>
      </c>
      <c r="M19" s="60">
        <v>445.08</v>
      </c>
      <c r="N19" s="60">
        <v>445.08</v>
      </c>
      <c r="O19" s="60">
        <v>445.08</v>
      </c>
      <c r="P19" s="60">
        <v>445.08</v>
      </c>
      <c r="Q19" s="60">
        <v>196.68</v>
      </c>
      <c r="R19" s="10">
        <v>453.2</v>
      </c>
      <c r="S19" s="10">
        <v>453.2</v>
      </c>
      <c r="T19" s="10">
        <v>453.2</v>
      </c>
      <c r="U19" s="10">
        <v>453.2</v>
      </c>
      <c r="V19" s="10">
        <v>453.2</v>
      </c>
      <c r="W19" s="44">
        <f>SUM(K19:V19)</f>
        <v>5133.159999999999</v>
      </c>
      <c r="X19" s="70">
        <f>SUM(C19:V19)</f>
        <v>16058.820000000003</v>
      </c>
    </row>
    <row r="20" spans="1:24" ht="11.25" customHeight="1" thickBot="1">
      <c r="A20" s="35"/>
      <c r="B20" s="30" t="s">
        <v>71</v>
      </c>
      <c r="C20" s="50"/>
      <c r="D20" s="66"/>
      <c r="E20" s="50"/>
      <c r="F20" s="50"/>
      <c r="G20" s="50"/>
      <c r="H20" s="50"/>
      <c r="I20" s="50">
        <v>965.95</v>
      </c>
      <c r="J20" s="50">
        <v>1668.6</v>
      </c>
      <c r="K20" s="60">
        <v>139.64</v>
      </c>
      <c r="L20" s="60">
        <v>139.64</v>
      </c>
      <c r="M20" s="60">
        <v>139.64</v>
      </c>
      <c r="N20" s="60">
        <v>139.64</v>
      </c>
      <c r="O20" s="60">
        <v>139.64</v>
      </c>
      <c r="P20" s="60">
        <v>139.64</v>
      </c>
      <c r="Q20" s="60">
        <v>139.64</v>
      </c>
      <c r="R20" s="10">
        <v>155.37</v>
      </c>
      <c r="S20" s="10">
        <v>155.37</v>
      </c>
      <c r="T20" s="10">
        <v>155.37</v>
      </c>
      <c r="U20" s="10">
        <v>155.37</v>
      </c>
      <c r="V20" s="10">
        <v>155.37</v>
      </c>
      <c r="W20" s="44">
        <f>SUM(K20:V20)</f>
        <v>1754.3299999999995</v>
      </c>
      <c r="X20" s="70">
        <f>SUM(C20:V20)</f>
        <v>4388.879999999999</v>
      </c>
    </row>
    <row r="21" spans="1:24" ht="14.25" customHeight="1" thickBot="1">
      <c r="A21" s="35" t="s">
        <v>34</v>
      </c>
      <c r="B21" s="30" t="s">
        <v>48</v>
      </c>
      <c r="C21" s="50">
        <v>0</v>
      </c>
      <c r="D21" s="66">
        <v>256</v>
      </c>
      <c r="E21" s="50">
        <v>0</v>
      </c>
      <c r="F21" s="50">
        <v>1313.5</v>
      </c>
      <c r="G21" s="50">
        <v>2952.96</v>
      </c>
      <c r="H21" s="50">
        <v>686</v>
      </c>
      <c r="I21" s="50">
        <v>350.54</v>
      </c>
      <c r="J21" s="50">
        <v>92</v>
      </c>
      <c r="K21" s="60">
        <v>234.72</v>
      </c>
      <c r="L21" s="56">
        <v>119.01</v>
      </c>
      <c r="M21" s="9"/>
      <c r="N21" s="10"/>
      <c r="O21" s="10"/>
      <c r="P21" s="10"/>
      <c r="Q21" s="10"/>
      <c r="R21" s="10"/>
      <c r="S21" s="10"/>
      <c r="T21" s="10"/>
      <c r="U21" s="10"/>
      <c r="V21" s="17"/>
      <c r="W21" s="44">
        <f t="shared" si="3"/>
        <v>353.73</v>
      </c>
      <c r="X21" s="70">
        <f t="shared" si="4"/>
        <v>6004.7300000000005</v>
      </c>
    </row>
    <row r="22" spans="1:24" ht="12" customHeight="1" thickBot="1">
      <c r="A22" s="35" t="s">
        <v>35</v>
      </c>
      <c r="B22" s="30" t="s">
        <v>5</v>
      </c>
      <c r="C22" s="50">
        <v>0</v>
      </c>
      <c r="D22" s="66">
        <v>655.9</v>
      </c>
      <c r="E22" s="50">
        <v>741.64</v>
      </c>
      <c r="F22" s="50">
        <v>987.84</v>
      </c>
      <c r="G22" s="50">
        <v>1000.06</v>
      </c>
      <c r="H22" s="50">
        <v>730.15</v>
      </c>
      <c r="I22" s="50">
        <v>1434.86</v>
      </c>
      <c r="J22" s="50">
        <v>950.79</v>
      </c>
      <c r="K22" s="60"/>
      <c r="L22" s="56"/>
      <c r="M22" s="9">
        <v>235.38</v>
      </c>
      <c r="N22" s="10"/>
      <c r="O22" s="10">
        <v>221.52</v>
      </c>
      <c r="P22" s="10"/>
      <c r="Q22" s="10"/>
      <c r="R22" s="10"/>
      <c r="S22" s="10">
        <v>290.74</v>
      </c>
      <c r="T22" s="10"/>
      <c r="U22" s="10">
        <v>269.98</v>
      </c>
      <c r="V22" s="17"/>
      <c r="W22" s="44">
        <f t="shared" si="3"/>
        <v>1017.62</v>
      </c>
      <c r="X22" s="70">
        <f t="shared" si="4"/>
        <v>7518.860000000001</v>
      </c>
    </row>
    <row r="23" spans="1:24" ht="39" customHeight="1" thickBot="1">
      <c r="A23" s="35" t="s">
        <v>36</v>
      </c>
      <c r="B23" s="30" t="s">
        <v>59</v>
      </c>
      <c r="C23" s="50">
        <v>3214.3</v>
      </c>
      <c r="D23" s="66">
        <v>18909.2</v>
      </c>
      <c r="E23" s="50">
        <v>16725.83</v>
      </c>
      <c r="F23" s="50">
        <v>12038.91</v>
      </c>
      <c r="G23" s="50">
        <v>14198.82</v>
      </c>
      <c r="H23" s="50">
        <v>15031.4</v>
      </c>
      <c r="I23" s="50">
        <v>15258.03</v>
      </c>
      <c r="J23" s="50">
        <v>16033.52</v>
      </c>
      <c r="K23" s="60">
        <v>1291.63</v>
      </c>
      <c r="L23" s="56">
        <v>1353.48</v>
      </c>
      <c r="M23" s="9">
        <v>1074.67</v>
      </c>
      <c r="N23" s="10">
        <v>1287.08</v>
      </c>
      <c r="O23" s="10">
        <v>1070.72</v>
      </c>
      <c r="P23" s="10">
        <v>820.96</v>
      </c>
      <c r="Q23" s="10">
        <v>858.06</v>
      </c>
      <c r="R23" s="10">
        <v>727.29</v>
      </c>
      <c r="S23" s="10">
        <v>817.77</v>
      </c>
      <c r="T23" s="10">
        <v>1693.45</v>
      </c>
      <c r="U23" s="10">
        <v>1070.81</v>
      </c>
      <c r="V23" s="17">
        <v>911.04</v>
      </c>
      <c r="W23" s="44">
        <f t="shared" si="3"/>
        <v>12976.96</v>
      </c>
      <c r="X23" s="70">
        <f t="shared" si="4"/>
        <v>124386.97</v>
      </c>
    </row>
    <row r="24" spans="1:24" ht="25.5" customHeight="1" thickBot="1">
      <c r="A24" s="35" t="s">
        <v>49</v>
      </c>
      <c r="B24" s="30" t="s">
        <v>60</v>
      </c>
      <c r="C24" s="50">
        <v>809.3</v>
      </c>
      <c r="D24" s="66">
        <v>2360</v>
      </c>
      <c r="E24" s="50">
        <v>1664.31</v>
      </c>
      <c r="F24" s="50">
        <v>3621.61</v>
      </c>
      <c r="G24" s="50">
        <v>2447.34</v>
      </c>
      <c r="H24" s="50">
        <v>2138.45</v>
      </c>
      <c r="I24" s="50">
        <v>1669.12</v>
      </c>
      <c r="J24" s="50">
        <v>1617.44</v>
      </c>
      <c r="K24" s="60">
        <v>102.2</v>
      </c>
      <c r="L24" s="56">
        <v>88.08</v>
      </c>
      <c r="M24" s="9">
        <v>76.76</v>
      </c>
      <c r="N24" s="10">
        <v>89.31</v>
      </c>
      <c r="O24" s="10">
        <v>9.43</v>
      </c>
      <c r="P24" s="10">
        <v>133.86</v>
      </c>
      <c r="Q24" s="10">
        <v>150.13</v>
      </c>
      <c r="R24" s="10">
        <v>174.87</v>
      </c>
      <c r="S24" s="10">
        <v>259.9</v>
      </c>
      <c r="T24" s="10">
        <v>64.27</v>
      </c>
      <c r="U24" s="10">
        <v>237.19</v>
      </c>
      <c r="V24" s="17">
        <v>83.48</v>
      </c>
      <c r="W24" s="44">
        <f t="shared" si="3"/>
        <v>1469.48</v>
      </c>
      <c r="X24" s="70">
        <f t="shared" si="4"/>
        <v>17797.050000000003</v>
      </c>
    </row>
    <row r="25" spans="1:24" ht="31.5" customHeight="1" thickBot="1">
      <c r="A25" s="35" t="s">
        <v>51</v>
      </c>
      <c r="B25" s="30" t="s">
        <v>62</v>
      </c>
      <c r="C25" s="50">
        <v>1716.12</v>
      </c>
      <c r="D25" s="66">
        <v>12189.76</v>
      </c>
      <c r="E25" s="50">
        <v>16326.38</v>
      </c>
      <c r="F25" s="50">
        <v>14042.87</v>
      </c>
      <c r="G25" s="50">
        <v>20256.87</v>
      </c>
      <c r="H25" s="50">
        <v>15641.36</v>
      </c>
      <c r="I25" s="50">
        <v>16460.69</v>
      </c>
      <c r="J25" s="50">
        <v>18030.85</v>
      </c>
      <c r="K25" s="60">
        <f>63.79+618.07+761.3</f>
        <v>1443.1599999999999</v>
      </c>
      <c r="L25" s="56">
        <f>60.1+860.85+737.75</f>
        <v>1658.7</v>
      </c>
      <c r="M25" s="9">
        <f>769.42+52.28+573.95</f>
        <v>1395.65</v>
      </c>
      <c r="N25" s="10">
        <f>55.9+634.56+2038.9</f>
        <v>2729.36</v>
      </c>
      <c r="O25" s="10">
        <f>54.57+700.68+552.59</f>
        <v>1307.8400000000001</v>
      </c>
      <c r="P25" s="10">
        <f>63.42+487.66+978.44</f>
        <v>1529.52</v>
      </c>
      <c r="Q25" s="10">
        <f>60.98+825.96+445.61</f>
        <v>1332.5500000000002</v>
      </c>
      <c r="R25" s="10">
        <f>55.87+507.74+710.38</f>
        <v>1273.99</v>
      </c>
      <c r="S25" s="10">
        <f>40.66+451.56+646.85</f>
        <v>1139.0700000000002</v>
      </c>
      <c r="T25" s="10">
        <f>41.21+723.35+1838.01</f>
        <v>2602.57</v>
      </c>
      <c r="U25" s="10">
        <f>45.55+454.85+473.39</f>
        <v>973.79</v>
      </c>
      <c r="V25" s="17">
        <f>45.45+1375.61+794.58</f>
        <v>2215.64</v>
      </c>
      <c r="W25" s="44">
        <f t="shared" si="3"/>
        <v>19601.840000000004</v>
      </c>
      <c r="X25" s="70">
        <f t="shared" si="4"/>
        <v>134266.74000000002</v>
      </c>
    </row>
    <row r="26" spans="1:24" ht="15.75" customHeight="1" thickBot="1">
      <c r="A26" s="35" t="s">
        <v>52</v>
      </c>
      <c r="B26" s="30" t="s">
        <v>8</v>
      </c>
      <c r="C26" s="50">
        <v>24601.71</v>
      </c>
      <c r="D26" s="66">
        <v>153070.35</v>
      </c>
      <c r="E26" s="50">
        <v>161333.29</v>
      </c>
      <c r="F26" s="50">
        <v>165254.84</v>
      </c>
      <c r="G26" s="50">
        <v>184632.53</v>
      </c>
      <c r="H26" s="50">
        <v>186168.8</v>
      </c>
      <c r="I26" s="50">
        <v>179433.98</v>
      </c>
      <c r="J26" s="50">
        <v>194879.24</v>
      </c>
      <c r="K26" s="60">
        <f>22480.63-5018.32</f>
        <v>17462.31</v>
      </c>
      <c r="L26" s="56">
        <f>21311.13-4976.39</f>
        <v>16334.740000000002</v>
      </c>
      <c r="M26" s="9">
        <f>21526.54-5090.28</f>
        <v>16436.260000000002</v>
      </c>
      <c r="N26" s="10">
        <f>22549.87-6037.26</f>
        <v>16512.61</v>
      </c>
      <c r="O26" s="10">
        <f>22007.4-4680.29</f>
        <v>17327.11</v>
      </c>
      <c r="P26" s="10">
        <f>24006.19-7639.74</f>
        <v>16366.449999999999</v>
      </c>
      <c r="Q26" s="10">
        <f>25996.04-5488.23</f>
        <v>20507.81</v>
      </c>
      <c r="R26" s="10">
        <f>21552.72-4604.21</f>
        <v>16948.510000000002</v>
      </c>
      <c r="S26" s="10">
        <f>22743.38-6290.18</f>
        <v>16453.2</v>
      </c>
      <c r="T26" s="10">
        <f>23903.83-6384.96</f>
        <v>17518.870000000003</v>
      </c>
      <c r="U26" s="10">
        <f>22006.8-4431.88</f>
        <v>17574.92</v>
      </c>
      <c r="V26" s="17">
        <f>29664.44-12244.94</f>
        <v>17419.5</v>
      </c>
      <c r="W26" s="44">
        <f t="shared" si="3"/>
        <v>206862.29000000004</v>
      </c>
      <c r="X26" s="70">
        <f t="shared" si="4"/>
        <v>1456237.0300000003</v>
      </c>
    </row>
    <row r="27" spans="1:24" ht="13.5" customHeight="1" thickBot="1">
      <c r="A27" s="35" t="s">
        <v>53</v>
      </c>
      <c r="B27" s="31" t="s">
        <v>3</v>
      </c>
      <c r="C27" s="51">
        <v>3488.77</v>
      </c>
      <c r="D27" s="67">
        <v>14502.96</v>
      </c>
      <c r="E27" s="51">
        <v>14086.96</v>
      </c>
      <c r="F27" s="51">
        <v>15424.12</v>
      </c>
      <c r="G27" s="51">
        <v>13551.08</v>
      </c>
      <c r="H27" s="51">
        <v>13963.13</v>
      </c>
      <c r="I27" s="51">
        <v>15099.11</v>
      </c>
      <c r="J27" s="51">
        <v>14879.59</v>
      </c>
      <c r="K27" s="62">
        <f>25.01+1166.1</f>
        <v>1191.11</v>
      </c>
      <c r="L27" s="57">
        <f>24.4+1052.22</f>
        <v>1076.6200000000001</v>
      </c>
      <c r="M27" s="11">
        <f>23.17+1033.15</f>
        <v>1056.3200000000002</v>
      </c>
      <c r="N27" s="12">
        <f>25.03+1074.52</f>
        <v>1099.55</v>
      </c>
      <c r="O27" s="12">
        <f>23.85+1033.35</f>
        <v>1057.1999999999998</v>
      </c>
      <c r="P27" s="12">
        <f>21.85+940.76</f>
        <v>962.61</v>
      </c>
      <c r="Q27" s="12">
        <f>26.79+1211.56</f>
        <v>1238.35</v>
      </c>
      <c r="R27" s="12">
        <f>47.65+1195.88</f>
        <v>1243.5300000000002</v>
      </c>
      <c r="S27" s="12">
        <f>27.45+1379.76</f>
        <v>1407.21</v>
      </c>
      <c r="T27" s="12">
        <f>11.2+24.59+1050.64</f>
        <v>1086.43</v>
      </c>
      <c r="U27" s="12">
        <f>24.97+1080.66</f>
        <v>1105.63</v>
      </c>
      <c r="V27" s="18">
        <f>25.52+1060.94</f>
        <v>1086.46</v>
      </c>
      <c r="W27" s="44">
        <f t="shared" si="3"/>
        <v>13611.02</v>
      </c>
      <c r="X27" s="70">
        <f t="shared" si="4"/>
        <v>118606.74000000002</v>
      </c>
    </row>
    <row r="28" spans="1:24" ht="13.5" customHeight="1" thickBot="1">
      <c r="A28" s="35"/>
      <c r="B28" s="37" t="s">
        <v>56</v>
      </c>
      <c r="C28" s="72"/>
      <c r="D28" s="73"/>
      <c r="E28" s="72"/>
      <c r="F28" s="74">
        <f>F8*5%</f>
        <v>18346.7955</v>
      </c>
      <c r="G28" s="74">
        <f>G8*5%</f>
        <v>18347.313000000002</v>
      </c>
      <c r="H28" s="74">
        <f>H8*5%</f>
        <v>18366.9285</v>
      </c>
      <c r="I28" s="74">
        <f>I8*5%</f>
        <v>18351.142000000003</v>
      </c>
      <c r="J28" s="74">
        <f>SUM(J8+J9+J10)*5%</f>
        <v>20053.828999999998</v>
      </c>
      <c r="K28" s="74">
        <f>SUM(K8+K9+K10)*5%</f>
        <v>1484.4365</v>
      </c>
      <c r="L28" s="74">
        <f aca="true" t="shared" si="5" ref="L28:V28">SUM(L8+L9+L10)*5%</f>
        <v>1483.9565</v>
      </c>
      <c r="M28" s="74">
        <f t="shared" si="5"/>
        <v>1483.9595</v>
      </c>
      <c r="N28" s="74">
        <f t="shared" si="5"/>
        <v>1483.9595</v>
      </c>
      <c r="O28" s="74">
        <f t="shared" si="5"/>
        <v>1483.9595</v>
      </c>
      <c r="P28" s="74">
        <f t="shared" si="5"/>
        <v>1483.9595</v>
      </c>
      <c r="Q28" s="74">
        <f t="shared" si="5"/>
        <v>1485.3435</v>
      </c>
      <c r="R28" s="74">
        <f t="shared" si="5"/>
        <v>1485.3915000000002</v>
      </c>
      <c r="S28" s="74">
        <f t="shared" si="5"/>
        <v>1485.3920000000003</v>
      </c>
      <c r="T28" s="74">
        <f t="shared" si="5"/>
        <v>1485.3920000000003</v>
      </c>
      <c r="U28" s="74">
        <f t="shared" si="5"/>
        <v>1485.3920000000003</v>
      </c>
      <c r="V28" s="74">
        <f t="shared" si="5"/>
        <v>1485.3920000000003</v>
      </c>
      <c r="W28" s="74">
        <f t="shared" si="3"/>
        <v>17816.534</v>
      </c>
      <c r="X28" s="71"/>
    </row>
    <row r="29" spans="1:24" ht="13.5" customHeight="1" thickBot="1">
      <c r="A29" s="35" t="s">
        <v>37</v>
      </c>
      <c r="B29" s="47" t="s">
        <v>45</v>
      </c>
      <c r="C29" s="52"/>
      <c r="D29" s="68"/>
      <c r="E29" s="68"/>
      <c r="F29" s="68"/>
      <c r="G29" s="68"/>
      <c r="H29" s="68"/>
      <c r="I29" s="75">
        <f aca="true" t="shared" si="6" ref="I29:V29">SUM(I8+I9+I10-I11)-I28</f>
        <v>10970.928000000004</v>
      </c>
      <c r="J29" s="75">
        <f>SUM(J8+J9+J10-J11)-J28</f>
        <v>1178.710999999923</v>
      </c>
      <c r="K29" s="75">
        <f>SUM(K8+K9-K11)-K28</f>
        <v>5072.593499999999</v>
      </c>
      <c r="L29" s="75">
        <f aca="true" t="shared" si="7" ref="L29:V29">SUM(L8+L9-L11)-L28</f>
        <v>6232.973499999996</v>
      </c>
      <c r="M29" s="75">
        <f t="shared" si="7"/>
        <v>6017.620499999998</v>
      </c>
      <c r="N29" s="75">
        <f t="shared" si="7"/>
        <v>4994.2905</v>
      </c>
      <c r="O29" s="75">
        <f t="shared" si="7"/>
        <v>5536.760499999998</v>
      </c>
      <c r="P29" s="75">
        <f t="shared" si="7"/>
        <v>3537.9705000000004</v>
      </c>
      <c r="Q29" s="75">
        <f t="shared" si="7"/>
        <v>1571.8564999999971</v>
      </c>
      <c r="R29" s="75">
        <f t="shared" si="7"/>
        <v>6016.0885</v>
      </c>
      <c r="S29" s="75">
        <f t="shared" si="7"/>
        <v>4825.438000000006</v>
      </c>
      <c r="T29" s="75">
        <f t="shared" si="7"/>
        <v>3664.9880000000007</v>
      </c>
      <c r="U29" s="75">
        <f t="shared" si="7"/>
        <v>5562.018000000004</v>
      </c>
      <c r="V29" s="75">
        <f t="shared" si="7"/>
        <v>-2095.6219999999926</v>
      </c>
      <c r="W29" s="74">
        <f t="shared" si="3"/>
        <v>50936.975999999995</v>
      </c>
      <c r="X29" s="71"/>
    </row>
    <row r="30" spans="1:24" ht="22.5" customHeight="1" thickBot="1">
      <c r="A30" s="35" t="s">
        <v>38</v>
      </c>
      <c r="B30" s="95" t="s">
        <v>22</v>
      </c>
      <c r="C30" s="96">
        <f>SUM(C8-C11,B30)</f>
        <v>14232.070000000007</v>
      </c>
      <c r="D30" s="96">
        <f>SUM(D8-D11)</f>
        <v>77920.01000000001</v>
      </c>
      <c r="E30" s="96">
        <f>SUM(E8-E11)</f>
        <v>22561.929999999993</v>
      </c>
      <c r="F30" s="97">
        <f>SUM(F8-F11)-F28</f>
        <v>24566.20449999994</v>
      </c>
      <c r="G30" s="97">
        <f>SUM(G8-G11)-G28</f>
        <v>7454.787000000033</v>
      </c>
      <c r="H30" s="97">
        <f>SUM(H8-H11)-H28</f>
        <v>-20847.298499999997</v>
      </c>
      <c r="I30" s="97">
        <f>SUM(I8+I9+I10-I11)-I28</f>
        <v>10970.928000000004</v>
      </c>
      <c r="J30" s="97">
        <f>SUM(J8+J9+J10-J11)-J28</f>
        <v>1178.710999999923</v>
      </c>
      <c r="K30" s="97">
        <f>SUM(K8+K9-K11)-K28</f>
        <v>5072.593499999999</v>
      </c>
      <c r="L30" s="97">
        <f>SUM(L29+K30)</f>
        <v>11305.566999999995</v>
      </c>
      <c r="M30" s="97">
        <f aca="true" t="shared" si="8" ref="M30:V30">SUM(M29+L30)</f>
        <v>17323.187499999993</v>
      </c>
      <c r="N30" s="97">
        <f t="shared" si="8"/>
        <v>22317.477999999992</v>
      </c>
      <c r="O30" s="97">
        <f t="shared" si="8"/>
        <v>27854.23849999999</v>
      </c>
      <c r="P30" s="97">
        <f t="shared" si="8"/>
        <v>31392.208999999988</v>
      </c>
      <c r="Q30" s="97">
        <f t="shared" si="8"/>
        <v>32964.06549999998</v>
      </c>
      <c r="R30" s="97">
        <f t="shared" si="8"/>
        <v>38980.15399999998</v>
      </c>
      <c r="S30" s="97">
        <f t="shared" si="8"/>
        <v>43805.59199999999</v>
      </c>
      <c r="T30" s="97">
        <f t="shared" si="8"/>
        <v>47470.57999999999</v>
      </c>
      <c r="U30" s="97">
        <f t="shared" si="8"/>
        <v>53032.59799999999</v>
      </c>
      <c r="V30" s="97">
        <f t="shared" si="8"/>
        <v>50936.975999999995</v>
      </c>
      <c r="W30" s="88"/>
      <c r="X30" s="98"/>
    </row>
    <row r="31" spans="1:24" ht="27" customHeight="1" hidden="1" thickBot="1">
      <c r="A31" s="35" t="s">
        <v>39</v>
      </c>
      <c r="B31" s="37" t="s">
        <v>23</v>
      </c>
      <c r="C31" s="38">
        <f>SUM(C8-C11,B31)</f>
        <v>14232.070000000007</v>
      </c>
      <c r="D31" s="38">
        <f>SUM(D8-D11,C31)</f>
        <v>92152.08000000002</v>
      </c>
      <c r="E31" s="38">
        <f>SUM(E8-E11,D31)</f>
        <v>114714.01000000001</v>
      </c>
      <c r="F31" s="76">
        <f aca="true" t="shared" si="9" ref="F31:K31">SUM(F30+E31)</f>
        <v>139280.21449999994</v>
      </c>
      <c r="G31" s="76">
        <f t="shared" si="9"/>
        <v>146735.00149999998</v>
      </c>
      <c r="H31" s="76">
        <f t="shared" si="9"/>
        <v>125887.70299999998</v>
      </c>
      <c r="I31" s="76">
        <f t="shared" si="9"/>
        <v>136858.631</v>
      </c>
      <c r="J31" s="76">
        <f t="shared" si="9"/>
        <v>138037.34199999992</v>
      </c>
      <c r="K31" s="76">
        <f t="shared" si="9"/>
        <v>143109.9354999999</v>
      </c>
      <c r="L31" s="74">
        <f>SUM(L29+K31)</f>
        <v>149342.9089999999</v>
      </c>
      <c r="M31" s="74">
        <f>SUM(M29+L31)</f>
        <v>155360.5294999999</v>
      </c>
      <c r="N31" s="74">
        <f aca="true" t="shared" si="10" ref="N31:U31">SUM(N29+M31)</f>
        <v>160354.8199999999</v>
      </c>
      <c r="O31" s="74">
        <f t="shared" si="10"/>
        <v>165891.5804999999</v>
      </c>
      <c r="P31" s="74">
        <f t="shared" si="10"/>
        <v>169429.5509999999</v>
      </c>
      <c r="Q31" s="74">
        <f t="shared" si="10"/>
        <v>171001.40749999988</v>
      </c>
      <c r="R31" s="74">
        <f>SUM(R29+Q31)-X10</f>
        <v>159472.1159999999</v>
      </c>
      <c r="S31" s="74">
        <f t="shared" si="10"/>
        <v>164297.5539999999</v>
      </c>
      <c r="T31" s="74">
        <f t="shared" si="10"/>
        <v>167962.5419999999</v>
      </c>
      <c r="U31" s="74">
        <f t="shared" si="10"/>
        <v>173524.5599999999</v>
      </c>
      <c r="V31" s="74">
        <f>SUM(V29+U31)</f>
        <v>171428.9379999999</v>
      </c>
      <c r="W31" s="44"/>
      <c r="X31" s="63"/>
    </row>
    <row r="32" spans="1:24" ht="23.25" hidden="1" thickBot="1">
      <c r="A32" s="35" t="s">
        <v>39</v>
      </c>
      <c r="B32" s="37" t="s">
        <v>7</v>
      </c>
      <c r="C32" s="53"/>
      <c r="D32" s="53"/>
      <c r="E32" s="53"/>
      <c r="F32" s="53"/>
      <c r="G32" s="53"/>
      <c r="H32" s="53"/>
      <c r="I32" s="53"/>
      <c r="J32" s="53"/>
      <c r="K32" s="58"/>
      <c r="L32" s="58"/>
      <c r="M32" s="13"/>
      <c r="N32" s="14"/>
      <c r="O32" s="14"/>
      <c r="P32" s="14"/>
      <c r="Q32" s="14"/>
      <c r="R32" s="14"/>
      <c r="S32" s="14"/>
      <c r="T32" s="14"/>
      <c r="U32" s="14"/>
      <c r="V32" s="19"/>
      <c r="W32" s="45"/>
      <c r="X32" s="39"/>
    </row>
    <row r="33" spans="1:24" ht="15" customHeight="1" hidden="1" thickBot="1">
      <c r="A33" s="35" t="s">
        <v>40</v>
      </c>
      <c r="B33" s="32" t="s">
        <v>24</v>
      </c>
      <c r="C33" s="53"/>
      <c r="D33" s="53"/>
      <c r="E33" s="53"/>
      <c r="F33" s="53"/>
      <c r="G33" s="53"/>
      <c r="H33" s="53"/>
      <c r="I33" s="53"/>
      <c r="J33" s="53"/>
      <c r="K33" s="58"/>
      <c r="L33" s="58"/>
      <c r="M33" s="13"/>
      <c r="N33" s="14"/>
      <c r="O33" s="14"/>
      <c r="P33" s="14"/>
      <c r="Q33" s="14"/>
      <c r="R33" s="14"/>
      <c r="S33" s="14"/>
      <c r="T33" s="14"/>
      <c r="U33" s="14"/>
      <c r="V33" s="19"/>
      <c r="W33" s="44"/>
      <c r="X33" s="40"/>
    </row>
    <row r="34" spans="1:24" ht="24" customHeight="1" hidden="1" thickBot="1">
      <c r="A34" s="36" t="s">
        <v>41</v>
      </c>
      <c r="B34" s="33" t="s">
        <v>43</v>
      </c>
      <c r="C34" s="54"/>
      <c r="D34" s="54"/>
      <c r="E34" s="54"/>
      <c r="F34" s="54"/>
      <c r="G34" s="54"/>
      <c r="H34" s="54"/>
      <c r="I34" s="54"/>
      <c r="J34" s="54"/>
      <c r="K34" s="46"/>
      <c r="L34" s="46"/>
      <c r="M34" s="23"/>
      <c r="N34" s="23"/>
      <c r="O34" s="23"/>
      <c r="P34" s="23"/>
      <c r="Q34" s="23"/>
      <c r="R34" s="23"/>
      <c r="S34" s="23"/>
      <c r="T34" s="23"/>
      <c r="U34" s="23"/>
      <c r="V34" s="24">
        <f>SUM(V30-V32)</f>
        <v>50936.975999999995</v>
      </c>
      <c r="W34" s="46"/>
      <c r="X34" s="41"/>
    </row>
    <row r="35" spans="1:24" ht="24" customHeight="1" hidden="1" thickBot="1">
      <c r="A35" s="36" t="s">
        <v>42</v>
      </c>
      <c r="B35" s="33" t="s">
        <v>25</v>
      </c>
      <c r="C35" s="54"/>
      <c r="D35" s="54"/>
      <c r="E35" s="54"/>
      <c r="F35" s="54"/>
      <c r="G35" s="54"/>
      <c r="H35" s="54"/>
      <c r="I35" s="54"/>
      <c r="J35" s="54"/>
      <c r="K35" s="46"/>
      <c r="L35" s="46"/>
      <c r="M35" s="23"/>
      <c r="N35" s="23"/>
      <c r="O35" s="23"/>
      <c r="P35" s="23"/>
      <c r="Q35" s="23"/>
      <c r="R35" s="23"/>
      <c r="S35" s="23"/>
      <c r="T35" s="23"/>
      <c r="U35" s="23"/>
      <c r="V35" s="24">
        <f>SUM(V31-V32)</f>
        <v>171428.9379999999</v>
      </c>
      <c r="W35" s="46"/>
      <c r="X35" s="41"/>
    </row>
    <row r="36" spans="3:24" ht="24" customHeight="1" hidden="1">
      <c r="C36" s="20"/>
      <c r="D36" s="20"/>
      <c r="E36" s="20"/>
      <c r="F36" s="20"/>
      <c r="G36" s="20"/>
      <c r="H36" s="20"/>
      <c r="I36" s="20"/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</row>
    <row r="37" ht="12.75" hidden="1"/>
    <row r="38" ht="0.75" customHeight="1" hidden="1"/>
    <row r="39" ht="12.75" hidden="1"/>
    <row r="40" ht="12.75" hidden="1"/>
    <row r="41" ht="12.75">
      <c r="B41" t="s">
        <v>61</v>
      </c>
    </row>
    <row r="45" ht="12.75" customHeight="1"/>
    <row r="46" ht="12.75" customHeight="1"/>
  </sheetData>
  <sheetProtection/>
  <mergeCells count="5">
    <mergeCell ref="B4:X4"/>
    <mergeCell ref="B5:X5"/>
    <mergeCell ref="B3:X3"/>
    <mergeCell ref="B1:M1"/>
    <mergeCell ref="B2:X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2020-03-11T08:18:34Z</cp:lastPrinted>
  <dcterms:created xsi:type="dcterms:W3CDTF">2011-06-16T11:06:26Z</dcterms:created>
  <dcterms:modified xsi:type="dcterms:W3CDTF">2020-03-11T08:18:40Z</dcterms:modified>
  <cp:category/>
  <cp:version/>
  <cp:contentType/>
  <cp:contentStatus/>
</cp:coreProperties>
</file>