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<sst xmlns="http://schemas.openxmlformats.org/spreadsheetml/2006/main" count="80" uniqueCount="80">
  <si>
    <t>СПРАВКА</t>
  </si>
  <si>
    <t xml:space="preserve">Начислено  </t>
  </si>
  <si>
    <t>Расходы</t>
  </si>
  <si>
    <t>Услуги РИРЦ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</si>
  <si>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</si>
  <si>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</si>
  <si>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</si>
  <si>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</si>
  <si>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</si>
  <si>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</si>
  <si>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</si>
  <si>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</si>
  <si>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</si>
  <si>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</si>
  <si>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</si>
  <si>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</si>
  <si>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</si>
  <si>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</si>
  <si>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</si>
  <si>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</si>
  <si>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</si>
  <si>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</si>
  <si>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</si>
  <si>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</si>
  <si>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</si>
  <si>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</si>
  <si>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</si>
  <si>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</si>
  <si>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</si>
  <si>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</si>
  <si>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</si>
  <si>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4.3</t>
  </si>
  <si>
    <t>4.5</t>
  </si>
  <si>
    <t>4.6</t>
  </si>
  <si>
    <t>4.7</t>
  </si>
  <si>
    <t>4.8</t>
  </si>
  <si>
    <t>4.10</t>
  </si>
  <si>
    <t>4.11</t>
  </si>
  <si>
    <t>5</t>
  </si>
  <si>
    <t>6</t>
  </si>
  <si>
    <t>7</t>
  </si>
  <si>
    <t>8</t>
  </si>
  <si>
    <t>9</t>
  </si>
  <si>
    <t>по жилому дому г. Унеча ул. Горького д.9</t>
  </si>
  <si>
    <t>за 2010 г</t>
  </si>
  <si>
    <t>10</t>
  </si>
  <si>
    <t>Финансовый результат по дому с начала года</t>
  </si>
  <si>
    <t>11</t>
  </si>
  <si>
    <t>Итого за 2011 г</t>
  </si>
  <si>
    <t>Благоустройство территории</t>
  </si>
  <si>
    <t>Результат за месяц</t>
  </si>
  <si>
    <t>Итого за 2012 г</t>
  </si>
  <si>
    <t>4.12</t>
  </si>
  <si>
    <t>4.13</t>
  </si>
  <si>
    <t>4.14</t>
  </si>
  <si>
    <t xml:space="preserve">Материалы </t>
  </si>
  <si>
    <t>Итого за 2013 г</t>
  </si>
  <si>
    <t>Итого за 2014 г</t>
  </si>
  <si>
    <t>рентабельность 5%</t>
  </si>
  <si>
    <t>Итого за 2015 г</t>
  </si>
  <si>
    <t>Транспортные(ГСМ,зап.части,амортизация,страхование ит.д.)</t>
  </si>
  <si>
    <t xml:space="preserve">Расходы на управление,аренда, связь </t>
  </si>
  <si>
    <t>Услуги сторонних орган.</t>
  </si>
  <si>
    <t>4.4</t>
  </si>
  <si>
    <t>Проверка вент каналов</t>
  </si>
  <si>
    <t>Исполнитель вед. экономист  /Викторова Л.С./</t>
  </si>
  <si>
    <t xml:space="preserve">Услуги агентские,охрана труда,отопление, хол.вода, эл.энегрия   </t>
  </si>
  <si>
    <t>Итого за 2016 г</t>
  </si>
  <si>
    <t>Итого за 2017 г</t>
  </si>
  <si>
    <t>Начислено СОИД</t>
  </si>
  <si>
    <t>Электроэнергия  СОИД</t>
  </si>
  <si>
    <t>Горячая вода СОИД</t>
  </si>
  <si>
    <t>Холодная вода СОИД</t>
  </si>
  <si>
    <t>Канализация СОИД</t>
  </si>
  <si>
    <t>Итого за 2018 г</t>
  </si>
  <si>
    <t>Итого за 2019 г</t>
  </si>
  <si>
    <t>Всего за 2010-2019</t>
  </si>
  <si>
    <t>Вывоз ТБО (Утилизация)</t>
  </si>
  <si>
    <t>Дом по ул.Горького д.9 вступил в ООО "Наш дом" с февраля 2010 года   тариф 9,2 руб. с января 2019 года 8,6 руб.</t>
  </si>
  <si>
    <t>ООО "НД УНЕЧА"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</si>
</sst>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5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0" fontId="21" fillId="0" borderId="29" xfId="0" applyFont="1" applyBorder="1" applyAlignment="1">
      <alignment horizontal="left" wrapText="1"/>
    </xf>
    <xf numFmtId="49" fontId="21" fillId="0" borderId="28" xfId="0" applyNumberFormat="1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27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2" borderId="31" xfId="0" applyFont="1" applyFill="1" applyBorder="1" applyAlignment="1">
      <alignment wrapText="1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23" fillId="0" borderId="35" xfId="0" applyFont="1" applyBorder="1" applyAlignment="1">
      <alignment horizontal="left" vertical="center" wrapText="1"/>
    </xf>
    <xf numFmtId="0" fontId="21" fillId="0" borderId="33" xfId="0" applyFont="1" applyBorder="1" applyAlignment="1">
      <alignment wrapText="1"/>
    </xf>
    <xf numFmtId="0" fontId="21" fillId="0" borderId="34" xfId="0" applyFont="1" applyBorder="1" applyAlignment="1">
      <alignment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2" fontId="21" fillId="0" borderId="37" xfId="0" applyNumberFormat="1" applyFont="1" applyBorder="1" applyAlignment="1">
      <alignment wrapText="1"/>
    </xf>
    <xf numFmtId="0" fontId="21" fillId="0" borderId="33" xfId="0" applyFont="1" applyBorder="1" applyAlignment="1">
      <alignment horizontal="right" wrapText="1"/>
    </xf>
    <xf numFmtId="49" fontId="0" fillId="0" borderId="36" xfId="0" applyNumberFormat="1" applyBorder="1" applyAlignment="1">
      <alignment horizontal="center"/>
    </xf>
    <xf numFmtId="0" fontId="25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2" borderId="27" xfId="0" applyFill="1" applyBorder="1" applyAlignment="1">
      <alignment/>
    </xf>
    <xf numFmtId="0" fontId="19" fillId="0" borderId="35" xfId="0" applyFont="1" applyBorder="1" applyAlignment="1">
      <alignment horizontal="center" vertical="center" wrapText="1"/>
    </xf>
    <xf numFmtId="0" fontId="21" fillId="0" borderId="35" xfId="0" applyFont="1" applyBorder="1" applyAlignment="1">
      <alignment/>
    </xf>
    <xf numFmtId="0" fontId="21" fillId="0" borderId="36" xfId="0" applyFont="1" applyBorder="1" applyAlignment="1">
      <alignment/>
    </xf>
    <xf numFmtId="0" fontId="20" fillId="2" borderId="36" xfId="0" applyFont="1" applyFill="1" applyBorder="1" applyAlignment="1">
      <alignment/>
    </xf>
    <xf numFmtId="0" fontId="21" fillId="0" borderId="32" xfId="0" applyFont="1" applyBorder="1" applyAlignment="1">
      <alignment/>
    </xf>
    <xf numFmtId="0" fontId="21" fillId="0" borderId="38" xfId="0" applyFont="1" applyBorder="1" applyAlignment="1">
      <alignment wrapText="1"/>
    </xf>
    <xf numFmtId="0" fontId="26" fillId="0" borderId="32" xfId="0" applyFont="1" applyBorder="1" applyAlignment="1">
      <alignment wrapText="1"/>
    </xf>
    <xf numFmtId="0" fontId="26" fillId="0" borderId="33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0" borderId="23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26" fillId="0" borderId="39" xfId="0" applyFont="1" applyBorder="1" applyAlignment="1">
      <alignment wrapText="1"/>
    </xf>
    <xf numFmtId="2" fontId="21" fillId="0" borderId="39" xfId="0" applyNumberFormat="1" applyFont="1" applyBorder="1" applyAlignment="1">
      <alignment wrapText="1"/>
    </xf>
    <xf numFmtId="0" fontId="21" fillId="0" borderId="40" xfId="0" applyFont="1" applyBorder="1" applyAlignment="1">
      <alignment wrapText="1"/>
    </xf>
    <xf numFmtId="0" fontId="21" fillId="0" borderId="40" xfId="0" applyFont="1" applyBorder="1" applyAlignment="1">
      <alignment horizontal="right" wrapText="1"/>
    </xf>
    <xf numFmtId="0" fontId="21" fillId="0" borderId="41" xfId="0" applyFont="1" applyBorder="1" applyAlignment="1">
      <alignment wrapText="1"/>
    </xf>
    <xf numFmtId="0" fontId="21" fillId="0" borderId="42" xfId="0" applyFont="1" applyBorder="1" applyAlignment="1">
      <alignment wrapText="1"/>
    </xf>
    <xf numFmtId="2" fontId="21" fillId="0" borderId="35" xfId="0" applyNumberFormat="1" applyFont="1" applyBorder="1" applyAlignment="1">
      <alignment/>
    </xf>
    <xf numFmtId="2" fontId="21" fillId="0" borderId="26" xfId="0" applyNumberFormat="1" applyFont="1" applyBorder="1" applyAlignment="1">
      <alignment/>
    </xf>
    <xf numFmtId="2" fontId="21" fillId="0" borderId="23" xfId="0" applyNumberFormat="1" applyFont="1" applyBorder="1" applyAlignment="1">
      <alignment/>
    </xf>
    <xf numFmtId="0" fontId="19" fillId="0" borderId="43" xfId="0" applyFont="1" applyBorder="1" applyAlignment="1">
      <alignment horizontal="center" vertical="center" wrapText="1"/>
    </xf>
    <xf numFmtId="2" fontId="21" fillId="0" borderId="43" xfId="0" applyNumberFormat="1" applyFont="1" applyBorder="1" applyAlignment="1">
      <alignment/>
    </xf>
    <xf numFmtId="0" fontId="21" fillId="2" borderId="44" xfId="0" applyFont="1" applyFill="1" applyBorder="1" applyAlignment="1">
      <alignment wrapText="1"/>
    </xf>
    <xf numFmtId="0" fontId="0" fillId="0" borderId="44" xfId="0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2" fontId="21" fillId="0" borderId="36" xfId="0" applyNumberFormat="1" applyFont="1" applyBorder="1" applyAlignment="1">
      <alignment/>
    </xf>
    <xf numFmtId="0" fontId="26" fillId="0" borderId="37" xfId="0" applyFont="1" applyBorder="1" applyAlignment="1">
      <alignment wrapText="1"/>
    </xf>
    <xf numFmtId="0" fontId="19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/>
    </xf>
    <xf numFmtId="0" fontId="27" fillId="0" borderId="27" xfId="0" applyFont="1" applyBorder="1" applyAlignment="1">
      <alignment/>
    </xf>
    <xf numFmtId="49" fontId="22" fillId="0" borderId="33" xfId="0" applyNumberFormat="1" applyFont="1" applyBorder="1" applyAlignment="1">
      <alignment horizontal="center"/>
    </xf>
    <xf numFmtId="0" fontId="19" fillId="0" borderId="27" xfId="0" applyFont="1" applyBorder="1" applyAlignment="1">
      <alignment wrapText="1"/>
    </xf>
    <xf numFmtId="0" fontId="28" fillId="0" borderId="35" xfId="0" applyFont="1" applyBorder="1" applyAlignment="1">
      <alignment/>
    </xf>
    <xf numFmtId="0" fontId="28" fillId="0" borderId="23" xfId="0" applyFont="1" applyBorder="1" applyAlignment="1">
      <alignment/>
    </xf>
    <xf numFmtId="0" fontId="28" fillId="0" borderId="11" xfId="0" applyFont="1" applyBorder="1" applyAlignment="1">
      <alignment/>
    </xf>
    <xf numFmtId="0" fontId="29" fillId="0" borderId="27" xfId="0" applyFont="1" applyBorder="1" applyAlignment="1">
      <alignment/>
    </xf>
    <xf numFmtId="0" fontId="22" fillId="0" borderId="0" xfId="0" applyFont="1" applyAlignment="1">
      <alignment/>
    </xf>
    <xf numFmtId="0" fontId="28" fillId="0" borderId="45" xfId="0" applyFont="1" applyBorder="1" applyAlignment="1">
      <alignment wrapText="1"/>
    </xf>
    <xf numFmtId="0" fontId="28" fillId="0" borderId="35" xfId="0" applyFont="1" applyBorder="1" applyAlignment="1">
      <alignment wrapText="1"/>
    </xf>
    <xf numFmtId="2" fontId="28" fillId="0" borderId="43" xfId="0" applyNumberFormat="1" applyFont="1" applyBorder="1" applyAlignment="1">
      <alignment/>
    </xf>
    <xf numFmtId="2" fontId="28" fillId="0" borderId="35" xfId="0" applyNumberFormat="1" applyFont="1" applyBorder="1" applyAlignment="1">
      <alignment/>
    </xf>
    <xf numFmtId="2" fontId="28" fillId="0" borderId="23" xfId="0" applyNumberFormat="1" applyFont="1" applyBorder="1" applyAlignment="1">
      <alignment/>
    </xf>
    <xf numFmtId="0" fontId="22" fillId="0" borderId="27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tabSelected="1" zoomScalePageLayoutView="0" workbookViewId="0" topLeftCell="B4">
      <selection activeCell="B2" sqref="B2:X2"/>
    </sheetView>
  </sheetViews>
  <sheetFormatPr defaultColWidth="9.00390625" defaultRowHeight="12.75"/>
  <cols>
    <col min="1" max="1" width="3.625" style="29" hidden="1" customWidth="1"/>
    <col min="2" max="2" width="20.625" style="0" customWidth="1"/>
    <col min="3" max="3" width="10.75390625" style="0" hidden="1" customWidth="1"/>
    <col min="4" max="4" width="9.75390625" style="0" hidden="1" customWidth="1"/>
    <col min="5" max="5" width="9.625" style="0" hidden="1" customWidth="1"/>
    <col min="6" max="6" width="11.375" style="0" hidden="1" customWidth="1"/>
    <col min="7" max="7" width="10.00390625" style="0" hidden="1" customWidth="1"/>
    <col min="8" max="8" width="10.25390625" style="0" hidden="1" customWidth="1"/>
    <col min="9" max="9" width="9.75390625" style="0" hidden="1" customWidth="1"/>
    <col min="10" max="10" width="8.875" style="0" hidden="1" customWidth="1"/>
    <col min="11" max="11" width="9.375" style="0" hidden="1" customWidth="1"/>
    <col min="12" max="12" width="8.75390625" style="0" customWidth="1"/>
    <col min="13" max="14" width="8.625" style="0" customWidth="1"/>
    <col min="15" max="15" width="8.875" style="0" customWidth="1"/>
    <col min="16" max="16" width="8.75390625" style="0" customWidth="1"/>
    <col min="17" max="19" width="8.875" style="0" customWidth="1"/>
    <col min="20" max="21" width="8.75390625" style="0" customWidth="1"/>
    <col min="22" max="22" width="9.125" style="0" customWidth="1"/>
    <col min="23" max="23" width="9.00390625" style="0" customWidth="1"/>
    <col min="24" max="24" width="9.125" style="0" customWidth="1"/>
    <col min="25" max="25" width="9.75390625" style="0" customWidth="1"/>
  </cols>
  <sheetData>
    <row r="1" spans="2:30" ht="12.75" customHeight="1">
      <c r="B1" s="100" t="s">
        <v>79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 customHeight="1">
      <c r="B2" s="100" t="s">
        <v>78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1"/>
      <c r="W2" s="101"/>
      <c r="X2" s="101"/>
      <c r="Y2" s="4"/>
      <c r="Z2" s="4"/>
      <c r="AA2" s="4"/>
      <c r="AB2" s="4"/>
      <c r="AC2" s="4"/>
      <c r="AD2" s="4"/>
    </row>
    <row r="3" spans="2:30" ht="12.75" customHeight="1">
      <c r="B3" s="99" t="s">
        <v>0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3"/>
      <c r="AA3" s="3"/>
      <c r="AB3" s="3"/>
      <c r="AC3" s="3"/>
      <c r="AD3" s="3"/>
    </row>
    <row r="4" spans="2:30" ht="15" customHeight="1">
      <c r="B4" s="98" t="s">
        <v>9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2"/>
      <c r="AA4" s="2"/>
      <c r="AB4" s="2"/>
      <c r="AC4" s="2"/>
      <c r="AD4" s="2"/>
    </row>
    <row r="5" spans="2:30" ht="16.5" customHeight="1">
      <c r="B5" s="98" t="s">
        <v>43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2"/>
      <c r="AA5" s="2"/>
      <c r="AB5" s="2"/>
      <c r="AC5" s="2"/>
      <c r="AD5" s="2"/>
    </row>
    <row r="6" spans="2:30" ht="0.75" customHeight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2"/>
      <c r="AC6" s="2"/>
      <c r="AD6" s="2"/>
    </row>
    <row r="7" spans="1:30" ht="26.25" customHeight="1" thickBot="1">
      <c r="A7" s="39" t="s">
        <v>26</v>
      </c>
      <c r="B7" s="30" t="s">
        <v>6</v>
      </c>
      <c r="C7" s="42" t="s">
        <v>44</v>
      </c>
      <c r="D7" s="54" t="s">
        <v>48</v>
      </c>
      <c r="E7" s="54" t="s">
        <v>51</v>
      </c>
      <c r="F7" s="54" t="s">
        <v>56</v>
      </c>
      <c r="G7" s="74" t="s">
        <v>57</v>
      </c>
      <c r="H7" s="54" t="s">
        <v>59</v>
      </c>
      <c r="I7" s="54" t="s">
        <v>67</v>
      </c>
      <c r="J7" s="54" t="s">
        <v>68</v>
      </c>
      <c r="K7" s="54" t="s">
        <v>74</v>
      </c>
      <c r="L7" s="6" t="s">
        <v>10</v>
      </c>
      <c r="M7" s="5" t="s">
        <v>11</v>
      </c>
      <c r="N7" s="5" t="s">
        <v>12</v>
      </c>
      <c r="O7" s="5" t="s">
        <v>13</v>
      </c>
      <c r="P7" s="5" t="s">
        <v>14</v>
      </c>
      <c r="Q7" s="5" t="s">
        <v>15</v>
      </c>
      <c r="R7" s="5" t="s">
        <v>16</v>
      </c>
      <c r="S7" s="5" t="s">
        <v>17</v>
      </c>
      <c r="T7" s="5" t="s">
        <v>18</v>
      </c>
      <c r="U7" s="5" t="s">
        <v>19</v>
      </c>
      <c r="V7" s="5" t="s">
        <v>21</v>
      </c>
      <c r="W7" s="17" t="s">
        <v>20</v>
      </c>
      <c r="X7" s="54" t="s">
        <v>75</v>
      </c>
      <c r="Y7" s="82" t="s">
        <v>76</v>
      </c>
      <c r="Z7" s="1"/>
      <c r="AA7" s="1"/>
      <c r="AB7" s="1"/>
      <c r="AC7" s="1"/>
      <c r="AD7" s="1"/>
    </row>
    <row r="8" spans="1:25" ht="13.5" thickBot="1">
      <c r="A8" s="40" t="s">
        <v>27</v>
      </c>
      <c r="B8" s="31" t="s">
        <v>1</v>
      </c>
      <c r="C8" s="60">
        <v>419405</v>
      </c>
      <c r="D8" s="65">
        <v>457527.96</v>
      </c>
      <c r="E8" s="60">
        <v>456113</v>
      </c>
      <c r="F8" s="60">
        <v>455349.4</v>
      </c>
      <c r="G8" s="60">
        <v>454813.96</v>
      </c>
      <c r="H8" s="60">
        <v>454682.4</v>
      </c>
      <c r="I8" s="60">
        <v>454505.76</v>
      </c>
      <c r="J8" s="60">
        <v>454505.76</v>
      </c>
      <c r="K8" s="60">
        <v>454315.32</v>
      </c>
      <c r="L8" s="7">
        <v>35383.84</v>
      </c>
      <c r="M8" s="7">
        <v>35383.84</v>
      </c>
      <c r="N8" s="7">
        <v>35383.84</v>
      </c>
      <c r="O8" s="7">
        <v>35408.78</v>
      </c>
      <c r="P8" s="7">
        <v>35408.78</v>
      </c>
      <c r="Q8" s="7">
        <v>35408.78</v>
      </c>
      <c r="R8" s="7">
        <v>35408.78</v>
      </c>
      <c r="S8" s="7">
        <v>35408.78</v>
      </c>
      <c r="T8" s="7">
        <v>35408.78</v>
      </c>
      <c r="U8" s="7">
        <v>35408.78</v>
      </c>
      <c r="V8" s="7">
        <v>35408.78</v>
      </c>
      <c r="W8" s="7">
        <v>35408.78</v>
      </c>
      <c r="X8" s="58">
        <f>SUM(L8:W8)</f>
        <v>424830.54000000004</v>
      </c>
      <c r="Y8" s="83">
        <f>SUM(C8:W8)</f>
        <v>4486049.100000001</v>
      </c>
    </row>
    <row r="9" spans="1:25" ht="13.5" thickBot="1">
      <c r="A9" s="40"/>
      <c r="B9" s="31" t="s">
        <v>69</v>
      </c>
      <c r="C9" s="81"/>
      <c r="D9" s="65"/>
      <c r="E9" s="81"/>
      <c r="F9" s="81"/>
      <c r="G9" s="81"/>
      <c r="H9" s="81"/>
      <c r="I9" s="61"/>
      <c r="J9" s="81">
        <v>52492.46</v>
      </c>
      <c r="K9" s="81">
        <v>35896.75</v>
      </c>
      <c r="L9" s="7">
        <f>116.05+169.18+476.2</f>
        <v>761.4300000000001</v>
      </c>
      <c r="M9" s="7">
        <f>116.05+169.18+476.2</f>
        <v>761.4300000000001</v>
      </c>
      <c r="N9" s="7">
        <f>116.05+169.18+476.2</f>
        <v>761.4300000000001</v>
      </c>
      <c r="O9" s="7">
        <f>116.05+169.18+476.2</f>
        <v>761.4300000000001</v>
      </c>
      <c r="P9" s="7">
        <f>115.92+169.18+476.25</f>
        <v>761.35</v>
      </c>
      <c r="Q9" s="7">
        <f>115.92+169.18+476.25</f>
        <v>761.35</v>
      </c>
      <c r="R9" s="8">
        <f aca="true" t="shared" si="0" ref="R9:W9">118.19+188.19+489.65</f>
        <v>796.03</v>
      </c>
      <c r="S9" s="8">
        <f t="shared" si="0"/>
        <v>796.03</v>
      </c>
      <c r="T9" s="8">
        <f t="shared" si="0"/>
        <v>796.03</v>
      </c>
      <c r="U9" s="8">
        <f t="shared" si="0"/>
        <v>796.03</v>
      </c>
      <c r="V9" s="8">
        <f t="shared" si="0"/>
        <v>796.03</v>
      </c>
      <c r="W9" s="8">
        <f t="shared" si="0"/>
        <v>796.03</v>
      </c>
      <c r="X9" s="58">
        <f>SUM(L9:W9)</f>
        <v>9344.6</v>
      </c>
      <c r="Y9" s="83">
        <f>SUM(C9:W9)</f>
        <v>97733.80999999997</v>
      </c>
    </row>
    <row r="10" spans="1:25" s="91" customFormat="1" ht="13.5" thickBot="1">
      <c r="A10" s="85" t="s">
        <v>28</v>
      </c>
      <c r="B10" s="86" t="s">
        <v>2</v>
      </c>
      <c r="C10" s="87">
        <f aca="true" t="shared" si="1" ref="C10:L10">SUM(C11:C26)</f>
        <v>339767.47000000003</v>
      </c>
      <c r="D10" s="88">
        <f t="shared" si="1"/>
        <v>438167.95999999996</v>
      </c>
      <c r="E10" s="87">
        <f t="shared" si="1"/>
        <v>466799.84</v>
      </c>
      <c r="F10" s="87">
        <f t="shared" si="1"/>
        <v>553153.29</v>
      </c>
      <c r="G10" s="87">
        <f t="shared" si="1"/>
        <v>487734.96</v>
      </c>
      <c r="H10" s="87">
        <f>SUM(H11:H26)</f>
        <v>570875.0900000001</v>
      </c>
      <c r="I10" s="87">
        <f>SUM(I11:I26)</f>
        <v>564552.3300000001</v>
      </c>
      <c r="J10" s="87">
        <f>SUM(J11:J26)</f>
        <v>567948.6699999999</v>
      </c>
      <c r="K10" s="87">
        <f t="shared" si="1"/>
        <v>585602.54</v>
      </c>
      <c r="L10" s="89">
        <f t="shared" si="1"/>
        <v>39446.2</v>
      </c>
      <c r="M10" s="89">
        <f aca="true" t="shared" si="2" ref="M10:W10">SUM(M11:M26)</f>
        <v>36797.36</v>
      </c>
      <c r="N10" s="89">
        <f t="shared" si="2"/>
        <v>37851.98</v>
      </c>
      <c r="O10" s="89">
        <f t="shared" si="2"/>
        <v>39496.3</v>
      </c>
      <c r="P10" s="89">
        <f t="shared" si="2"/>
        <v>38494.84</v>
      </c>
      <c r="Q10" s="89">
        <f t="shared" si="2"/>
        <v>37778.89</v>
      </c>
      <c r="R10" s="89">
        <f t="shared" si="2"/>
        <v>36916.03</v>
      </c>
      <c r="S10" s="89">
        <f t="shared" si="2"/>
        <v>37474.5</v>
      </c>
      <c r="T10" s="89">
        <f t="shared" si="2"/>
        <v>37031.7</v>
      </c>
      <c r="U10" s="89">
        <f t="shared" si="2"/>
        <v>53155.409999999996</v>
      </c>
      <c r="V10" s="89">
        <f t="shared" si="2"/>
        <v>43632.06</v>
      </c>
      <c r="W10" s="88">
        <f t="shared" si="2"/>
        <v>67850.14</v>
      </c>
      <c r="X10" s="87">
        <f>SUM(L10:W10)</f>
        <v>505925.41</v>
      </c>
      <c r="Y10" s="90">
        <f>SUM(C10:W10)</f>
        <v>5080527.5600000005</v>
      </c>
    </row>
    <row r="11" spans="1:25" ht="13.5" thickBot="1">
      <c r="A11" s="40" t="s">
        <v>29</v>
      </c>
      <c r="B11" s="33" t="s">
        <v>77</v>
      </c>
      <c r="C11" s="48">
        <v>67346.29</v>
      </c>
      <c r="D11" s="66">
        <v>89396.67</v>
      </c>
      <c r="E11" s="48">
        <v>96224.19</v>
      </c>
      <c r="F11" s="48">
        <v>109321.46</v>
      </c>
      <c r="G11" s="66">
        <v>110733.56</v>
      </c>
      <c r="H11" s="48">
        <v>100481.07</v>
      </c>
      <c r="I11" s="48">
        <v>100529.18</v>
      </c>
      <c r="J11" s="48">
        <v>100043.01</v>
      </c>
      <c r="K11" s="48">
        <v>94458.86</v>
      </c>
      <c r="L11" s="7"/>
      <c r="M11" s="8"/>
      <c r="N11" s="8"/>
      <c r="O11" s="8">
        <v>182.49</v>
      </c>
      <c r="P11" s="8">
        <v>139.44</v>
      </c>
      <c r="Q11" s="8">
        <v>57.7</v>
      </c>
      <c r="R11" s="8">
        <v>150.99</v>
      </c>
      <c r="S11" s="8">
        <v>109.25</v>
      </c>
      <c r="T11" s="8">
        <v>27.38</v>
      </c>
      <c r="U11" s="8">
        <v>97.19</v>
      </c>
      <c r="V11" s="8">
        <v>80.92</v>
      </c>
      <c r="W11" s="18"/>
      <c r="X11" s="55">
        <f aca="true" t="shared" si="3" ref="X11:X28">SUM(L11:W11)</f>
        <v>845.36</v>
      </c>
      <c r="Y11" s="84">
        <f aca="true" t="shared" si="4" ref="Y11:Y26">SUM(C11:W11)</f>
        <v>869379.6499999998</v>
      </c>
    </row>
    <row r="12" spans="1:25" ht="13.5" customHeight="1" thickBot="1">
      <c r="A12" s="40" t="s">
        <v>30</v>
      </c>
      <c r="B12" s="34" t="s">
        <v>62</v>
      </c>
      <c r="C12" s="43">
        <v>93209.65</v>
      </c>
      <c r="D12" s="67">
        <v>41719.25</v>
      </c>
      <c r="E12" s="43">
        <f>2465.44+11176.8</f>
        <v>13642.24</v>
      </c>
      <c r="F12" s="43">
        <f>3646.62+4325</f>
        <v>7971.62</v>
      </c>
      <c r="G12" s="67">
        <v>4170.35</v>
      </c>
      <c r="H12" s="43">
        <v>16064.6</v>
      </c>
      <c r="I12" s="43">
        <v>7315.52</v>
      </c>
      <c r="J12" s="43">
        <v>549.65</v>
      </c>
      <c r="K12" s="43">
        <v>3583.2</v>
      </c>
      <c r="L12" s="9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9">
        <v>7460.04</v>
      </c>
      <c r="X12" s="55">
        <f t="shared" si="3"/>
        <v>7460.04</v>
      </c>
      <c r="Y12" s="84">
        <f t="shared" si="4"/>
        <v>195686.12</v>
      </c>
    </row>
    <row r="13" spans="1:25" ht="12" customHeight="1" thickBot="1">
      <c r="A13" s="40" t="s">
        <v>31</v>
      </c>
      <c r="B13" s="32" t="s">
        <v>4</v>
      </c>
      <c r="C13" s="49">
        <v>12467.98</v>
      </c>
      <c r="D13" s="68">
        <v>0</v>
      </c>
      <c r="E13" s="49">
        <v>0</v>
      </c>
      <c r="F13" s="49">
        <v>15570.1</v>
      </c>
      <c r="G13" s="68"/>
      <c r="H13" s="49">
        <v>0</v>
      </c>
      <c r="I13" s="49">
        <v>16092.1</v>
      </c>
      <c r="J13" s="49">
        <v>6823.71</v>
      </c>
      <c r="K13" s="49">
        <v>8006.37</v>
      </c>
      <c r="L13" s="9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9">
        <v>18011.2</v>
      </c>
      <c r="X13" s="55">
        <f>SUM(L13:W13)</f>
        <v>18011.2</v>
      </c>
      <c r="Y13" s="84">
        <f t="shared" si="4"/>
        <v>76971.46</v>
      </c>
    </row>
    <row r="14" spans="1:25" ht="13.5" customHeight="1" thickBot="1">
      <c r="A14" s="40" t="s">
        <v>63</v>
      </c>
      <c r="B14" s="32" t="s">
        <v>64</v>
      </c>
      <c r="C14" s="49"/>
      <c r="D14" s="68"/>
      <c r="E14" s="49"/>
      <c r="F14" s="49"/>
      <c r="G14" s="68"/>
      <c r="H14" s="49">
        <v>4200</v>
      </c>
      <c r="I14" s="49">
        <v>5700</v>
      </c>
      <c r="J14" s="49">
        <v>4200</v>
      </c>
      <c r="K14" s="49">
        <v>4300</v>
      </c>
      <c r="L14" s="9"/>
      <c r="M14" s="10"/>
      <c r="N14" s="10"/>
      <c r="O14" s="10"/>
      <c r="P14" s="10"/>
      <c r="Q14" s="10"/>
      <c r="R14" s="10"/>
      <c r="S14" s="10"/>
      <c r="T14" s="10"/>
      <c r="U14" s="10">
        <v>4000</v>
      </c>
      <c r="V14" s="10"/>
      <c r="W14" s="19"/>
      <c r="X14" s="55">
        <f>SUM(L14:W14)</f>
        <v>4000</v>
      </c>
      <c r="Y14" s="84">
        <f>SUM(C14:W14)</f>
        <v>22400</v>
      </c>
    </row>
    <row r="15" spans="1:25" ht="12.75" customHeight="1" thickBot="1">
      <c r="A15" s="40" t="s">
        <v>32</v>
      </c>
      <c r="B15" s="34" t="s">
        <v>55</v>
      </c>
      <c r="C15" s="43">
        <v>10994.28</v>
      </c>
      <c r="D15" s="67">
        <v>24311.03</v>
      </c>
      <c r="E15" s="43">
        <v>7863.6</v>
      </c>
      <c r="F15" s="43">
        <v>60879.93</v>
      </c>
      <c r="G15" s="67">
        <v>17157.29</v>
      </c>
      <c r="H15" s="43">
        <v>52060.69</v>
      </c>
      <c r="I15" s="43">
        <v>39053.4</v>
      </c>
      <c r="J15" s="43">
        <v>10080.17</v>
      </c>
      <c r="K15" s="43">
        <v>19287.77</v>
      </c>
      <c r="L15" s="9">
        <v>808.35</v>
      </c>
      <c r="M15" s="10">
        <v>96</v>
      </c>
      <c r="N15" s="10">
        <v>1325</v>
      </c>
      <c r="O15" s="10">
        <v>1197.85</v>
      </c>
      <c r="P15" s="10">
        <v>312.88</v>
      </c>
      <c r="Q15" s="10">
        <v>60</v>
      </c>
      <c r="R15" s="10">
        <v>135</v>
      </c>
      <c r="S15" s="10">
        <f>385+75</f>
        <v>460</v>
      </c>
      <c r="T15" s="10">
        <v>1167.93</v>
      </c>
      <c r="U15" s="10">
        <v>9057</v>
      </c>
      <c r="V15" s="10">
        <v>4337</v>
      </c>
      <c r="W15" s="19">
        <v>3226.19</v>
      </c>
      <c r="X15" s="55">
        <f t="shared" si="3"/>
        <v>22183.2</v>
      </c>
      <c r="Y15" s="84">
        <f t="shared" si="4"/>
        <v>263871.36</v>
      </c>
    </row>
    <row r="16" spans="1:25" ht="23.25" customHeight="1" thickBot="1">
      <c r="A16" s="40" t="s">
        <v>33</v>
      </c>
      <c r="B16" s="34" t="s">
        <v>49</v>
      </c>
      <c r="C16" s="43">
        <v>0</v>
      </c>
      <c r="D16" s="67">
        <v>785.19</v>
      </c>
      <c r="E16" s="43">
        <v>256</v>
      </c>
      <c r="F16" s="43">
        <v>0</v>
      </c>
      <c r="G16" s="67">
        <v>80.95</v>
      </c>
      <c r="H16" s="43">
        <v>952.96</v>
      </c>
      <c r="I16" s="43">
        <v>186</v>
      </c>
      <c r="J16" s="43">
        <v>417.25</v>
      </c>
      <c r="K16" s="43">
        <v>92</v>
      </c>
      <c r="L16" s="9">
        <v>291.44</v>
      </c>
      <c r="M16" s="10">
        <v>149.02</v>
      </c>
      <c r="N16" s="10"/>
      <c r="O16" s="10"/>
      <c r="P16" s="10"/>
      <c r="Q16" s="10"/>
      <c r="R16" s="10"/>
      <c r="S16" s="10"/>
      <c r="T16" s="10"/>
      <c r="U16" s="10"/>
      <c r="V16" s="10"/>
      <c r="W16" s="19"/>
      <c r="X16" s="55">
        <f t="shared" si="3"/>
        <v>440.46000000000004</v>
      </c>
      <c r="Y16" s="84">
        <f t="shared" si="4"/>
        <v>3210.8100000000004</v>
      </c>
    </row>
    <row r="17" spans="1:25" ht="14.25" customHeight="1" thickBot="1">
      <c r="A17" s="40" t="s">
        <v>34</v>
      </c>
      <c r="B17" s="34" t="s">
        <v>70</v>
      </c>
      <c r="C17" s="43">
        <v>27030.01</v>
      </c>
      <c r="D17" s="67">
        <v>31859.66</v>
      </c>
      <c r="E17" s="43">
        <v>16096.01</v>
      </c>
      <c r="F17" s="43">
        <v>0</v>
      </c>
      <c r="G17" s="67"/>
      <c r="H17" s="43">
        <v>0</v>
      </c>
      <c r="I17" s="43">
        <v>0</v>
      </c>
      <c r="J17" s="43">
        <v>43445.31</v>
      </c>
      <c r="K17" s="43">
        <v>26840.9</v>
      </c>
      <c r="L17" s="9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9"/>
      <c r="X17" s="55">
        <f t="shared" si="3"/>
        <v>0</v>
      </c>
      <c r="Y17" s="84">
        <f t="shared" si="4"/>
        <v>145271.88999999998</v>
      </c>
    </row>
    <row r="18" spans="1:25" ht="14.25" customHeight="1" thickBot="1">
      <c r="A18" s="40"/>
      <c r="B18" s="34" t="s">
        <v>72</v>
      </c>
      <c r="C18" s="43"/>
      <c r="D18" s="67"/>
      <c r="E18" s="43"/>
      <c r="F18" s="43"/>
      <c r="G18" s="67"/>
      <c r="H18" s="43"/>
      <c r="I18" s="43"/>
      <c r="J18" s="43">
        <v>1343.58</v>
      </c>
      <c r="K18" s="43">
        <v>1387.98</v>
      </c>
      <c r="L18" s="9">
        <v>116.02</v>
      </c>
      <c r="M18" s="9">
        <v>116.02</v>
      </c>
      <c r="N18" s="9">
        <v>116.02</v>
      </c>
      <c r="O18" s="9">
        <v>116.02</v>
      </c>
      <c r="P18" s="9">
        <v>116.02</v>
      </c>
      <c r="Q18" s="9">
        <v>116.02</v>
      </c>
      <c r="R18" s="9">
        <v>116.02</v>
      </c>
      <c r="S18" s="10">
        <v>120.26</v>
      </c>
      <c r="T18" s="10">
        <v>118.14</v>
      </c>
      <c r="U18" s="10">
        <v>118.14</v>
      </c>
      <c r="V18" s="10">
        <v>118.14</v>
      </c>
      <c r="W18" s="10">
        <v>118.14</v>
      </c>
      <c r="X18" s="55">
        <f>SUM(L18:W18)</f>
        <v>1404.9600000000003</v>
      </c>
      <c r="Y18" s="84">
        <f>SUM(C18:W18)</f>
        <v>4136.5199999999995</v>
      </c>
    </row>
    <row r="19" spans="1:25" ht="14.25" customHeight="1" thickBot="1">
      <c r="A19" s="40"/>
      <c r="B19" s="34" t="s">
        <v>71</v>
      </c>
      <c r="C19" s="43"/>
      <c r="D19" s="67"/>
      <c r="E19" s="43"/>
      <c r="F19" s="43"/>
      <c r="G19" s="67"/>
      <c r="H19" s="43"/>
      <c r="I19" s="43"/>
      <c r="J19" s="43">
        <v>6533.22</v>
      </c>
      <c r="K19" s="43">
        <v>5646.08</v>
      </c>
      <c r="L19" s="9">
        <v>476.2</v>
      </c>
      <c r="M19" s="9">
        <v>476.2</v>
      </c>
      <c r="N19" s="9">
        <v>476.2</v>
      </c>
      <c r="O19" s="9">
        <v>476.2</v>
      </c>
      <c r="P19" s="9">
        <v>476.2</v>
      </c>
      <c r="Q19" s="9">
        <v>476.2</v>
      </c>
      <c r="R19" s="9">
        <v>489.65</v>
      </c>
      <c r="S19" s="10">
        <v>489.65</v>
      </c>
      <c r="T19" s="10">
        <v>489.65</v>
      </c>
      <c r="U19" s="10">
        <v>489.65</v>
      </c>
      <c r="V19" s="10">
        <v>489.65</v>
      </c>
      <c r="W19" s="10">
        <v>489.65</v>
      </c>
      <c r="X19" s="55">
        <f>SUM(L19:W19)</f>
        <v>5795.0999999999985</v>
      </c>
      <c r="Y19" s="84">
        <f>SUM(C19:W19)</f>
        <v>17974.40000000001</v>
      </c>
    </row>
    <row r="20" spans="1:25" ht="14.25" customHeight="1" thickBot="1">
      <c r="A20" s="40"/>
      <c r="B20" s="34" t="s">
        <v>73</v>
      </c>
      <c r="C20" s="43"/>
      <c r="D20" s="67"/>
      <c r="E20" s="43"/>
      <c r="F20" s="43"/>
      <c r="G20" s="67"/>
      <c r="H20" s="43"/>
      <c r="I20" s="43"/>
      <c r="J20" s="43">
        <v>1170.08</v>
      </c>
      <c r="K20" s="43">
        <v>2021.22</v>
      </c>
      <c r="L20" s="9">
        <v>169.15</v>
      </c>
      <c r="M20" s="9">
        <v>169.15</v>
      </c>
      <c r="N20" s="9">
        <v>169.15</v>
      </c>
      <c r="O20" s="9">
        <v>169.15</v>
      </c>
      <c r="P20" s="9">
        <v>169.15</v>
      </c>
      <c r="Q20" s="9">
        <v>169.15</v>
      </c>
      <c r="R20" s="9">
        <v>169.15</v>
      </c>
      <c r="S20" s="10">
        <v>188.21</v>
      </c>
      <c r="T20" s="10">
        <v>188.21</v>
      </c>
      <c r="U20" s="10">
        <v>188.21</v>
      </c>
      <c r="V20" s="10">
        <v>188.21</v>
      </c>
      <c r="W20" s="10">
        <v>188.21</v>
      </c>
      <c r="X20" s="55">
        <f>SUM(L20:W20)</f>
        <v>2125.1</v>
      </c>
      <c r="Y20" s="84">
        <f>SUM(C20:W20)</f>
        <v>5316.400000000001</v>
      </c>
    </row>
    <row r="21" spans="1:25" ht="13.5" customHeight="1" thickBot="1">
      <c r="A21" s="40" t="s">
        <v>35</v>
      </c>
      <c r="B21" s="34" t="s">
        <v>5</v>
      </c>
      <c r="C21" s="43">
        <v>1867.71</v>
      </c>
      <c r="D21" s="67">
        <v>1455.68</v>
      </c>
      <c r="E21" s="43">
        <v>1558.23</v>
      </c>
      <c r="F21" s="43">
        <v>1565.08</v>
      </c>
      <c r="G21" s="67">
        <v>1470.78</v>
      </c>
      <c r="H21" s="43">
        <v>1801.68</v>
      </c>
      <c r="I21" s="43">
        <v>1469.57</v>
      </c>
      <c r="J21" s="43">
        <v>1946.96</v>
      </c>
      <c r="K21" s="43">
        <v>1685.91</v>
      </c>
      <c r="L21" s="9"/>
      <c r="M21" s="10"/>
      <c r="N21" s="10">
        <v>447.85</v>
      </c>
      <c r="O21" s="10"/>
      <c r="P21" s="10">
        <v>551.83</v>
      </c>
      <c r="Q21" s="10"/>
      <c r="R21" s="10"/>
      <c r="S21" s="10"/>
      <c r="T21" s="10">
        <v>566.79</v>
      </c>
      <c r="U21" s="10"/>
      <c r="V21" s="10">
        <v>531.85</v>
      </c>
      <c r="W21" s="19"/>
      <c r="X21" s="55">
        <f t="shared" si="3"/>
        <v>2098.32</v>
      </c>
      <c r="Y21" s="84">
        <f t="shared" si="4"/>
        <v>16919.92</v>
      </c>
    </row>
    <row r="22" spans="1:25" ht="33" customHeight="1" thickBot="1">
      <c r="A22" s="40" t="s">
        <v>36</v>
      </c>
      <c r="B22" s="34" t="s">
        <v>60</v>
      </c>
      <c r="C22" s="43">
        <v>5644.4</v>
      </c>
      <c r="D22" s="67">
        <v>20122.75</v>
      </c>
      <c r="E22" s="43">
        <v>26547.52</v>
      </c>
      <c r="F22" s="43">
        <v>23795.21</v>
      </c>
      <c r="G22" s="67">
        <v>16787.02</v>
      </c>
      <c r="H22" s="43">
        <v>19792.94</v>
      </c>
      <c r="I22" s="43">
        <v>20922.9</v>
      </c>
      <c r="J22" s="43">
        <v>21256.85</v>
      </c>
      <c r="K22" s="43">
        <v>22328.65</v>
      </c>
      <c r="L22" s="9">
        <v>1798.23</v>
      </c>
      <c r="M22" s="10">
        <v>1884.97</v>
      </c>
      <c r="N22" s="10">
        <v>1496.68</v>
      </c>
      <c r="O22" s="10">
        <v>1793.75</v>
      </c>
      <c r="P22" s="10">
        <v>1492.22</v>
      </c>
      <c r="Q22" s="10">
        <v>1144.15</v>
      </c>
      <c r="R22" s="10">
        <v>1195.84</v>
      </c>
      <c r="S22" s="10">
        <v>1013.56</v>
      </c>
      <c r="T22" s="10">
        <v>1139.66</v>
      </c>
      <c r="U22" s="10">
        <v>2360.03</v>
      </c>
      <c r="V22" s="10">
        <v>1492.3</v>
      </c>
      <c r="W22" s="19">
        <v>1269.64</v>
      </c>
      <c r="X22" s="55">
        <f t="shared" si="3"/>
        <v>18081.03</v>
      </c>
      <c r="Y22" s="84">
        <f t="shared" si="4"/>
        <v>195279.27000000002</v>
      </c>
    </row>
    <row r="23" spans="1:25" ht="23.25" customHeight="1" thickBot="1">
      <c r="A23" s="40" t="s">
        <v>37</v>
      </c>
      <c r="B23" s="34" t="s">
        <v>61</v>
      </c>
      <c r="C23" s="43">
        <v>9977.79</v>
      </c>
      <c r="D23" s="67">
        <v>10955.68</v>
      </c>
      <c r="E23" s="43">
        <v>3275.96</v>
      </c>
      <c r="F23" s="43">
        <v>2324.7</v>
      </c>
      <c r="G23" s="67">
        <v>5049.79</v>
      </c>
      <c r="H23" s="43">
        <v>3411.15</v>
      </c>
      <c r="I23" s="43">
        <v>2976.52</v>
      </c>
      <c r="J23" s="43">
        <v>2325.15</v>
      </c>
      <c r="K23" s="43">
        <v>2252.29</v>
      </c>
      <c r="L23" s="9">
        <v>142.28</v>
      </c>
      <c r="M23" s="10">
        <v>122.67</v>
      </c>
      <c r="N23" s="10">
        <v>106.9</v>
      </c>
      <c r="O23" s="10">
        <v>124.47</v>
      </c>
      <c r="P23" s="10">
        <v>13.15</v>
      </c>
      <c r="Q23" s="10">
        <v>186.56</v>
      </c>
      <c r="R23" s="10">
        <v>209.22</v>
      </c>
      <c r="S23" s="10">
        <v>243.7</v>
      </c>
      <c r="T23" s="10">
        <v>362.2</v>
      </c>
      <c r="U23" s="10">
        <v>89.56</v>
      </c>
      <c r="V23" s="10">
        <v>330.56</v>
      </c>
      <c r="W23" s="19">
        <v>116.33</v>
      </c>
      <c r="X23" s="55">
        <f t="shared" si="3"/>
        <v>2047.6</v>
      </c>
      <c r="Y23" s="84">
        <f t="shared" si="4"/>
        <v>44596.62999999999</v>
      </c>
    </row>
    <row r="24" spans="1:25" ht="36" customHeight="1" thickBot="1">
      <c r="A24" s="40" t="s">
        <v>52</v>
      </c>
      <c r="B24" s="34" t="s">
        <v>66</v>
      </c>
      <c r="C24" s="43">
        <v>7459.15</v>
      </c>
      <c r="D24" s="67">
        <v>18843.15</v>
      </c>
      <c r="E24" s="43">
        <v>17024.97</v>
      </c>
      <c r="F24" s="43">
        <v>22803.99</v>
      </c>
      <c r="G24" s="67">
        <v>19581.74</v>
      </c>
      <c r="H24" s="43">
        <v>25342.62</v>
      </c>
      <c r="I24" s="43">
        <v>21771.93</v>
      </c>
      <c r="J24" s="43">
        <v>22932.57</v>
      </c>
      <c r="K24" s="43">
        <v>25109.72</v>
      </c>
      <c r="L24" s="9">
        <f>88.81+860.48+1059.88</f>
        <v>2009.17</v>
      </c>
      <c r="M24" s="10">
        <f>83.71+1198.89+1027.45</f>
        <v>2310.05</v>
      </c>
      <c r="N24" s="10">
        <f>1071.56+72.8+799.32</f>
        <v>1943.6799999999998</v>
      </c>
      <c r="O24" s="10">
        <f>77.91+884.37+2841.54</f>
        <v>3803.8199999999997</v>
      </c>
      <c r="P24" s="10">
        <f>76.05+976.51+770.12</f>
        <v>1822.6799999999998</v>
      </c>
      <c r="Q24" s="10">
        <f>88.39+679.63+1363.62</f>
        <v>2131.64</v>
      </c>
      <c r="R24" s="10">
        <f>84.98+1151.1+621.04</f>
        <v>1857.12</v>
      </c>
      <c r="S24" s="10">
        <f>77.86+707.59+990</f>
        <v>1775.45</v>
      </c>
      <c r="T24" s="10">
        <f>56.6+629.3+901.46</f>
        <v>1587.3600000000001</v>
      </c>
      <c r="U24" s="10">
        <f>57.43+1008.08+2561.48</f>
        <v>3626.99</v>
      </c>
      <c r="V24" s="10">
        <f>63.49+633.88+659.72</f>
        <v>1357.0900000000001</v>
      </c>
      <c r="W24" s="19">
        <f>63.34+1917.07+1107.34</f>
        <v>3087.75</v>
      </c>
      <c r="X24" s="55">
        <f t="shared" si="3"/>
        <v>27312.8</v>
      </c>
      <c r="Y24" s="84">
        <f t="shared" si="4"/>
        <v>208182.64</v>
      </c>
    </row>
    <row r="25" spans="1:25" ht="15.75" customHeight="1" thickBot="1">
      <c r="A25" s="40" t="s">
        <v>53</v>
      </c>
      <c r="B25" s="34" t="s">
        <v>8</v>
      </c>
      <c r="C25" s="43">
        <v>90028.66</v>
      </c>
      <c r="D25" s="67">
        <v>170132.22</v>
      </c>
      <c r="E25" s="43">
        <v>213855.31</v>
      </c>
      <c r="F25" s="43">
        <v>225306.63</v>
      </c>
      <c r="G25" s="67">
        <v>230363.17</v>
      </c>
      <c r="H25" s="43">
        <v>252964.69</v>
      </c>
      <c r="I25" s="43">
        <v>248664.41</v>
      </c>
      <c r="J25" s="43">
        <v>243890.14</v>
      </c>
      <c r="K25" s="43">
        <v>261613.43</v>
      </c>
      <c r="L25" s="9">
        <f>39446.2-15134.98</f>
        <v>24311.219999999998</v>
      </c>
      <c r="M25" s="10">
        <f>36797.36-14048.26</f>
        <v>22749.1</v>
      </c>
      <c r="N25" s="10">
        <f>37851.98-14961.53</f>
        <v>22890.450000000004</v>
      </c>
      <c r="O25" s="10">
        <f>39496.3-16483.27</f>
        <v>23013.030000000002</v>
      </c>
      <c r="P25" s="10">
        <f>38494.84-14346.64</f>
        <v>24148.199999999997</v>
      </c>
      <c r="Q25" s="10">
        <f>37778.89-13089.18</f>
        <v>24689.71</v>
      </c>
      <c r="R25" s="10">
        <f>36916.03-12355.76</f>
        <v>24560.269999999997</v>
      </c>
      <c r="S25" s="10">
        <f>37474.5-13854.78</f>
        <v>23619.72</v>
      </c>
      <c r="T25" s="10">
        <f>37031.7-14102.19</f>
        <v>22929.509999999995</v>
      </c>
      <c r="U25" s="10">
        <f>53155.41-28740.84</f>
        <v>24414.570000000003</v>
      </c>
      <c r="V25" s="10">
        <f>43632.06-18055.36</f>
        <v>25576.699999999997</v>
      </c>
      <c r="W25" s="19">
        <f>67850.14-42713.61</f>
        <v>25136.53</v>
      </c>
      <c r="X25" s="55">
        <f t="shared" si="3"/>
        <v>288039.01</v>
      </c>
      <c r="Y25" s="84">
        <f t="shared" si="4"/>
        <v>2224857.6699999995</v>
      </c>
    </row>
    <row r="26" spans="1:25" ht="13.5" customHeight="1" thickBot="1">
      <c r="A26" s="40" t="s">
        <v>54</v>
      </c>
      <c r="B26" s="35" t="s">
        <v>3</v>
      </c>
      <c r="C26" s="44">
        <v>13741.55</v>
      </c>
      <c r="D26" s="69">
        <v>28586.68</v>
      </c>
      <c r="E26" s="44">
        <v>70455.81</v>
      </c>
      <c r="F26" s="44">
        <v>83614.57</v>
      </c>
      <c r="G26" s="69">
        <v>82340.31</v>
      </c>
      <c r="H26" s="44">
        <v>93802.69</v>
      </c>
      <c r="I26" s="44">
        <v>99870.8</v>
      </c>
      <c r="J26" s="44">
        <v>100991.02</v>
      </c>
      <c r="K26" s="44">
        <v>106988.16</v>
      </c>
      <c r="L26" s="11">
        <f>7752.3+30.83+1541.01</f>
        <v>9324.14</v>
      </c>
      <c r="M26" s="12">
        <f>7373.3+28.42+1322.46</f>
        <v>8724.18</v>
      </c>
      <c r="N26" s="12">
        <f>7493+28.48+1358.57</f>
        <v>8880.05</v>
      </c>
      <c r="O26" s="12">
        <f>7301.8+27.36+1290.36</f>
        <v>8619.52</v>
      </c>
      <c r="P26" s="16">
        <f>7851.1+29.27+1372.7</f>
        <v>9253.070000000002</v>
      </c>
      <c r="Q26" s="12">
        <f>7395.7+28.13+1323.93</f>
        <v>8747.76</v>
      </c>
      <c r="R26" s="12">
        <f>6736+26.59+1270.18</f>
        <v>8032.77</v>
      </c>
      <c r="S26" s="12">
        <f>7991.4+31.68+1431.62</f>
        <v>9454.7</v>
      </c>
      <c r="T26" s="12">
        <f>7080.3+30.2+1344.37</f>
        <v>8454.869999999999</v>
      </c>
      <c r="U26" s="12">
        <f>7388.8+29.14+1296.13</f>
        <v>8714.07</v>
      </c>
      <c r="V26" s="12">
        <f>7730.2+30.77+1368.67</f>
        <v>9129.64</v>
      </c>
      <c r="W26" s="21">
        <f>7407.3+29.44+1309.72</f>
        <v>8746.46</v>
      </c>
      <c r="X26" s="55">
        <f t="shared" si="3"/>
        <v>106081.23000000001</v>
      </c>
      <c r="Y26" s="84">
        <f t="shared" si="4"/>
        <v>786472.82</v>
      </c>
    </row>
    <row r="27" spans="1:25" ht="13.5" customHeight="1" thickBot="1">
      <c r="A27" s="40"/>
      <c r="B27" s="45" t="s">
        <v>58</v>
      </c>
      <c r="C27" s="46"/>
      <c r="D27" s="70"/>
      <c r="E27" s="46"/>
      <c r="F27" s="46"/>
      <c r="G27" s="75">
        <f>G8*5%</f>
        <v>22740.698000000004</v>
      </c>
      <c r="H27" s="71">
        <f>H8*5%</f>
        <v>22734.120000000003</v>
      </c>
      <c r="I27" s="80">
        <f>I8*5%</f>
        <v>22725.288</v>
      </c>
      <c r="J27" s="80">
        <f>J8*5%</f>
        <v>22725.288</v>
      </c>
      <c r="K27" s="80">
        <f>K8*5%</f>
        <v>22715.766000000003</v>
      </c>
      <c r="L27" s="72">
        <f>(L8+L9)*5%</f>
        <v>1807.2635</v>
      </c>
      <c r="M27" s="72">
        <f aca="true" t="shared" si="5" ref="M27:W27">(M8+M9)*5%</f>
        <v>1807.2635</v>
      </c>
      <c r="N27" s="72">
        <f t="shared" si="5"/>
        <v>1807.2635</v>
      </c>
      <c r="O27" s="72">
        <f t="shared" si="5"/>
        <v>1808.5105</v>
      </c>
      <c r="P27" s="72">
        <f t="shared" si="5"/>
        <v>1808.5065</v>
      </c>
      <c r="Q27" s="72">
        <f t="shared" si="5"/>
        <v>1808.5065</v>
      </c>
      <c r="R27" s="72">
        <f t="shared" si="5"/>
        <v>1810.2404999999999</v>
      </c>
      <c r="S27" s="72">
        <f t="shared" si="5"/>
        <v>1810.2404999999999</v>
      </c>
      <c r="T27" s="72">
        <f t="shared" si="5"/>
        <v>1810.2404999999999</v>
      </c>
      <c r="U27" s="72">
        <f t="shared" si="5"/>
        <v>1810.2404999999999</v>
      </c>
      <c r="V27" s="72">
        <f t="shared" si="5"/>
        <v>1810.2404999999999</v>
      </c>
      <c r="W27" s="72">
        <f t="shared" si="5"/>
        <v>1810.2404999999999</v>
      </c>
      <c r="X27" s="71">
        <f t="shared" si="3"/>
        <v>21708.756999999998</v>
      </c>
      <c r="Y27" s="84"/>
    </row>
    <row r="28" spans="1:25" ht="14.25" customHeight="1" thickBot="1">
      <c r="A28" s="40" t="s">
        <v>38</v>
      </c>
      <c r="B28" s="59" t="s">
        <v>50</v>
      </c>
      <c r="C28" s="46"/>
      <c r="D28" s="70"/>
      <c r="E28" s="46"/>
      <c r="F28" s="46"/>
      <c r="G28" s="70"/>
      <c r="H28" s="46"/>
      <c r="I28" s="46"/>
      <c r="J28" s="71">
        <f aca="true" t="shared" si="6" ref="J28:W28">SUM(J8+J9-J10)-J27</f>
        <v>-83675.7379999999</v>
      </c>
      <c r="K28" s="71">
        <f>SUM(K8+K9-K10)-K27</f>
        <v>-118106.23600000003</v>
      </c>
      <c r="L28" s="73">
        <f t="shared" si="6"/>
        <v>-5108.1935</v>
      </c>
      <c r="M28" s="71">
        <f t="shared" si="6"/>
        <v>-2459.353500000004</v>
      </c>
      <c r="N28" s="73">
        <f t="shared" si="6"/>
        <v>-3513.9735000000064</v>
      </c>
      <c r="O28" s="71">
        <f t="shared" si="6"/>
        <v>-5134.600500000004</v>
      </c>
      <c r="P28" s="73">
        <f t="shared" si="6"/>
        <v>-4133.216499999999</v>
      </c>
      <c r="Q28" s="71">
        <f t="shared" si="6"/>
        <v>-3417.266500000002</v>
      </c>
      <c r="R28" s="73">
        <f t="shared" si="6"/>
        <v>-2521.460500000001</v>
      </c>
      <c r="S28" s="71">
        <f t="shared" si="6"/>
        <v>-3079.930500000002</v>
      </c>
      <c r="T28" s="73">
        <f t="shared" si="6"/>
        <v>-2637.1304999999993</v>
      </c>
      <c r="U28" s="71">
        <f t="shared" si="6"/>
        <v>-18760.8405</v>
      </c>
      <c r="V28" s="73">
        <f t="shared" si="6"/>
        <v>-9237.4905</v>
      </c>
      <c r="W28" s="71">
        <f t="shared" si="6"/>
        <v>-33455.5705</v>
      </c>
      <c r="X28" s="71">
        <f t="shared" si="3"/>
        <v>-93459.02700000002</v>
      </c>
      <c r="Y28" s="84"/>
    </row>
    <row r="29" spans="1:25" ht="20.25" customHeight="1" thickBot="1">
      <c r="A29" s="40" t="s">
        <v>39</v>
      </c>
      <c r="B29" s="92" t="s">
        <v>22</v>
      </c>
      <c r="C29" s="93">
        <v>79637.54</v>
      </c>
      <c r="D29" s="88">
        <f>SUM(D8-D10)</f>
        <v>19360.00000000006</v>
      </c>
      <c r="E29" s="87">
        <f>SUM(E8-E10)</f>
        <v>-10686.840000000026</v>
      </c>
      <c r="F29" s="87">
        <f>SUM(F8-F10)</f>
        <v>-97803.89000000001</v>
      </c>
      <c r="G29" s="94">
        <f>SUM(G8-G10)-G27</f>
        <v>-55661.698000000004</v>
      </c>
      <c r="H29" s="95">
        <f>SUM(H8-H10)-H27</f>
        <v>-138926.81000000006</v>
      </c>
      <c r="I29" s="95">
        <f>SUM(I8-I10)-I27</f>
        <v>-132771.85800000007</v>
      </c>
      <c r="J29" s="95">
        <f>SUM(J8+J9-J10)-J27</f>
        <v>-83675.7379999999</v>
      </c>
      <c r="K29" s="95">
        <f>SUM(K8+K9-K10)-K27</f>
        <v>-118106.23600000003</v>
      </c>
      <c r="L29" s="96">
        <f>SUM(L8+L9-L10)-L27</f>
        <v>-5108.1935</v>
      </c>
      <c r="M29" s="95">
        <f>SUM(M28+L29)</f>
        <v>-7567.547000000004</v>
      </c>
      <c r="N29" s="96">
        <f aca="true" t="shared" si="7" ref="N29:W29">SUM(N28+M29)</f>
        <v>-11081.52050000001</v>
      </c>
      <c r="O29" s="95">
        <f t="shared" si="7"/>
        <v>-16216.121000000014</v>
      </c>
      <c r="P29" s="96">
        <f t="shared" si="7"/>
        <v>-20349.337500000012</v>
      </c>
      <c r="Q29" s="95">
        <f t="shared" si="7"/>
        <v>-23766.604000000014</v>
      </c>
      <c r="R29" s="96">
        <f t="shared" si="7"/>
        <v>-26288.064500000015</v>
      </c>
      <c r="S29" s="95">
        <f t="shared" si="7"/>
        <v>-29367.995000000017</v>
      </c>
      <c r="T29" s="96">
        <f t="shared" si="7"/>
        <v>-32005.125500000016</v>
      </c>
      <c r="U29" s="95">
        <f t="shared" si="7"/>
        <v>-50765.966000000015</v>
      </c>
      <c r="V29" s="96">
        <f t="shared" si="7"/>
        <v>-60003.456500000015</v>
      </c>
      <c r="W29" s="95">
        <f t="shared" si="7"/>
        <v>-93459.02700000002</v>
      </c>
      <c r="X29" s="87"/>
      <c r="Y29" s="97"/>
    </row>
    <row r="30" spans="1:25" ht="21.75" customHeight="1" thickBot="1">
      <c r="A30" s="40" t="s">
        <v>40</v>
      </c>
      <c r="B30" s="45" t="s">
        <v>23</v>
      </c>
      <c r="C30" s="45">
        <v>79637.54</v>
      </c>
      <c r="D30" s="20">
        <f>SUM(D8-D10,C30)</f>
        <v>98997.54000000005</v>
      </c>
      <c r="E30" s="55">
        <f>SUM(E8-E10,D30)</f>
        <v>88310.70000000003</v>
      </c>
      <c r="F30" s="55">
        <f>SUM(F8-F10,E30)</f>
        <v>-9493.189999999988</v>
      </c>
      <c r="G30" s="75">
        <f aca="true" t="shared" si="8" ref="G30:L30">SUM(G29+F30)</f>
        <v>-65154.88799999999</v>
      </c>
      <c r="H30" s="71">
        <f t="shared" si="8"/>
        <v>-204081.69800000003</v>
      </c>
      <c r="I30" s="71">
        <f t="shared" si="8"/>
        <v>-336853.5560000001</v>
      </c>
      <c r="J30" s="71">
        <f t="shared" si="8"/>
        <v>-420529.294</v>
      </c>
      <c r="K30" s="71">
        <f t="shared" si="8"/>
        <v>-538635.53</v>
      </c>
      <c r="L30" s="71">
        <f t="shared" si="8"/>
        <v>-543743.7235000001</v>
      </c>
      <c r="M30" s="71">
        <f>SUM(M28+L30)</f>
        <v>-546203.077</v>
      </c>
      <c r="N30" s="73">
        <f aca="true" t="shared" si="9" ref="N30:V30">SUM(N28+M30)</f>
        <v>-549717.0505</v>
      </c>
      <c r="O30" s="71">
        <f t="shared" si="9"/>
        <v>-554851.6510000001</v>
      </c>
      <c r="P30" s="73">
        <f t="shared" si="9"/>
        <v>-558984.8675</v>
      </c>
      <c r="Q30" s="71">
        <f t="shared" si="9"/>
        <v>-562402.1340000001</v>
      </c>
      <c r="R30" s="73">
        <f t="shared" si="9"/>
        <v>-564923.5945000001</v>
      </c>
      <c r="S30" s="71">
        <f t="shared" si="9"/>
        <v>-568003.5250000001</v>
      </c>
      <c r="T30" s="73">
        <f t="shared" si="9"/>
        <v>-570640.6555000001</v>
      </c>
      <c r="U30" s="71">
        <f t="shared" si="9"/>
        <v>-589401.4960000002</v>
      </c>
      <c r="V30" s="73">
        <f t="shared" si="9"/>
        <v>-598638.9865000001</v>
      </c>
      <c r="W30" s="71">
        <f>SUM(W28+V30)</f>
        <v>-632094.5570000001</v>
      </c>
      <c r="X30" s="55"/>
      <c r="Y30" s="51"/>
    </row>
    <row r="31" spans="1:25" ht="23.25" hidden="1" thickBot="1">
      <c r="A31" s="40" t="s">
        <v>41</v>
      </c>
      <c r="B31" s="36" t="s">
        <v>7</v>
      </c>
      <c r="C31" s="45"/>
      <c r="D31" s="45"/>
      <c r="E31" s="63"/>
      <c r="F31" s="63"/>
      <c r="G31" s="63"/>
      <c r="H31" s="45"/>
      <c r="I31" s="63"/>
      <c r="J31" s="63"/>
      <c r="K31" s="63"/>
      <c r="L31" s="13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22"/>
      <c r="X31" s="55"/>
      <c r="Y31" s="52"/>
    </row>
    <row r="32" spans="1:25" ht="15" customHeight="1" hidden="1" thickBot="1">
      <c r="A32" s="41" t="s">
        <v>42</v>
      </c>
      <c r="B32" s="37" t="s">
        <v>24</v>
      </c>
      <c r="C32" s="46"/>
      <c r="D32" s="46"/>
      <c r="E32" s="62"/>
      <c r="F32" s="62"/>
      <c r="G32" s="62"/>
      <c r="H32" s="46"/>
      <c r="I32" s="62"/>
      <c r="J32" s="62"/>
      <c r="K32" s="62"/>
      <c r="L32" s="15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23"/>
      <c r="X32" s="56"/>
      <c r="Y32" s="52"/>
    </row>
    <row r="33" spans="1:25" ht="12" customHeight="1" hidden="1" thickBot="1">
      <c r="A33" s="41" t="s">
        <v>45</v>
      </c>
      <c r="B33" s="38" t="s">
        <v>46</v>
      </c>
      <c r="C33" s="47"/>
      <c r="D33" s="47"/>
      <c r="E33" s="64"/>
      <c r="F33" s="64"/>
      <c r="G33" s="64"/>
      <c r="H33" s="47"/>
      <c r="I33" s="64"/>
      <c r="J33" s="64"/>
      <c r="K33" s="64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8">
        <f>SUM(W29-W31)</f>
        <v>-93459.02700000002</v>
      </c>
      <c r="X33" s="57"/>
      <c r="Y33" s="53"/>
    </row>
    <row r="34" spans="1:25" ht="24" customHeight="1" hidden="1" thickBot="1">
      <c r="A34" s="50" t="s">
        <v>47</v>
      </c>
      <c r="B34" s="38" t="s">
        <v>25</v>
      </c>
      <c r="C34" s="47"/>
      <c r="D34" s="47"/>
      <c r="E34" s="64"/>
      <c r="F34" s="64"/>
      <c r="G34" s="64"/>
      <c r="H34" s="47"/>
      <c r="I34" s="64"/>
      <c r="J34" s="64"/>
      <c r="K34" s="64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8">
        <f>SUM(W30-W31)</f>
        <v>-632094.5570000001</v>
      </c>
      <c r="X34" s="57"/>
      <c r="Y34" s="53"/>
    </row>
    <row r="35" spans="2:25" ht="24" customHeight="1" hidden="1">
      <c r="B35" s="24"/>
      <c r="C35" s="24"/>
      <c r="D35" s="24"/>
      <c r="E35" s="24"/>
      <c r="F35" s="24"/>
      <c r="G35" s="24"/>
      <c r="H35" s="76"/>
      <c r="I35" s="24"/>
      <c r="J35" s="24"/>
      <c r="K35" s="24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6"/>
    </row>
    <row r="36" spans="8:11" ht="17.25" customHeight="1" hidden="1">
      <c r="H36" s="77"/>
      <c r="I36" s="79"/>
      <c r="J36" s="79"/>
      <c r="K36" s="79"/>
    </row>
    <row r="37" spans="8:11" ht="0.75" customHeight="1" hidden="1">
      <c r="H37" s="77"/>
      <c r="I37" s="79"/>
      <c r="J37" s="79"/>
      <c r="K37" s="79"/>
    </row>
    <row r="38" spans="8:11" ht="17.25" customHeight="1" hidden="1">
      <c r="H38" s="77"/>
      <c r="I38" s="79"/>
      <c r="J38" s="79"/>
      <c r="K38" s="79"/>
    </row>
    <row r="39" spans="8:11" ht="16.5" customHeight="1" hidden="1">
      <c r="H39" s="77"/>
      <c r="I39" s="79"/>
      <c r="J39" s="79"/>
      <c r="K39" s="79"/>
    </row>
    <row r="40" spans="2:11" ht="13.5" thickBot="1">
      <c r="B40" t="s">
        <v>65</v>
      </c>
      <c r="H40" s="78"/>
      <c r="I40" s="79"/>
      <c r="J40" s="79"/>
      <c r="K40" s="79"/>
    </row>
    <row r="44" ht="12.75" customHeight="1"/>
    <row r="45" ht="12.75" customHeight="1"/>
  </sheetData>
  <sheetProtection/>
  <mergeCells count="5">
    <mergeCell ref="B4:Y4"/>
    <mergeCell ref="B5:Y5"/>
    <mergeCell ref="B3:Y3"/>
    <mergeCell ref="B1:N1"/>
    <mergeCell ref="B2:X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2020-02-20T06:12:43Z</cp:lastPrinted>
  <dcterms:created xsi:type="dcterms:W3CDTF">2011-06-16T11:06:26Z</dcterms:created>
  <dcterms:modified xsi:type="dcterms:W3CDTF">2020-02-20T06:13:04Z</dcterms:modified>
  <cp:category/>
  <cp:version/>
  <cp:contentType/>
  <cp:contentStatus/>
</cp:coreProperties>
</file>