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<sst xmlns="http://schemas.openxmlformats.org/spreadsheetml/2006/main" count="78" uniqueCount="78">
  <si>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</si>
  <si>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</si>
  <si>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</si>
  <si>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</si>
  <si>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</si>
  <si>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</si>
  <si>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</si>
  <si>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</si>
  <si>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</si>
  <si>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</si>
  <si>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</si>
  <si>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</si>
  <si>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</si>
  <si>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</si>
  <si>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</si>
  <si>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</si>
  <si>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</si>
  <si>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</si>
  <si>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</si>
  <si>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</si>
  <si>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</si>
  <si>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</si>
  <si>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</si>
  <si>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</si>
  <si>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</si>
  <si>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</si>
  <si>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</si>
  <si>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</si>
  <si>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</si>
  <si>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</si>
  <si>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</si>
  <si>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</si>
  <si>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</si>
  <si>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</si>
  <si>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</si>
  <si>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</si>
  <si>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</si>
  <si>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</si>
  <si>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</si>
  <si>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</si>
  <si>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</si>
  <si>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</si>
  <si>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</si>
  <si>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</si>
  <si>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</si>
  <si>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</si>
  <si>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Иванова д.13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</si>
  <si>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</si>
  <si>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</si>
  <si>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</si>
  <si>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</si>
  <si>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</si>
  <si>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</si>
  <si>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Благоустройство территории</t>
  </si>
  <si>
    <t>12</t>
  </si>
  <si>
    <t>Результат за месяц</t>
  </si>
  <si>
    <t>Итого за 2012 г</t>
  </si>
  <si>
    <t>Итого за 2013 г</t>
  </si>
  <si>
    <t>Итого за 2014 г</t>
  </si>
  <si>
    <t xml:space="preserve">Материалы 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</si>
  <si>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</si>
  <si>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</si>
  <si>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</si>
  <si>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</si>
  <si>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</si>
  <si>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</si>
  <si>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Л.С./</t>
  </si>
  <si>
    <t>Итого за 2016 г</t>
  </si>
  <si>
    <t>Итого за 2017 г</t>
  </si>
  <si>
    <t>Начислено СОИД</t>
  </si>
  <si>
    <t>Электроэнергия СОИД</t>
  </si>
  <si>
    <t>Холодная вода СОИД</t>
  </si>
  <si>
    <t>Канализация СОИД</t>
  </si>
  <si>
    <t>Итого за 2018 г</t>
  </si>
  <si>
    <t>Итого за 2019 г</t>
  </si>
  <si>
    <t>Всего за 2010-2019</t>
  </si>
  <si>
    <t>Дом  по ул.Иванова д.13 вступил в ООО "наш дом" с февраля 2010 года   тариф 9,32 руб с января 2019 года тариф 8,7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</si>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</sst>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4" xfId="0" applyFont="1" applyBorder="1" applyAlignment="1">
      <alignment/>
    </xf>
    <xf numFmtId="0" fontId="2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7" xfId="0" applyFont="1" applyFill="1" applyBorder="1" applyAlignment="1">
      <alignment/>
    </xf>
    <xf numFmtId="0" fontId="0" fillId="2" borderId="25" xfId="0" applyFill="1" applyBorder="1" applyAlignment="1">
      <alignment/>
    </xf>
    <xf numFmtId="0" fontId="25" fillId="0" borderId="25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25" xfId="0" applyFont="1" applyBorder="1" applyAlignment="1">
      <alignment horizontal="left" vertical="center" wrapText="1"/>
    </xf>
    <xf numFmtId="0" fontId="21" fillId="0" borderId="2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0" borderId="37" xfId="0" applyFont="1" applyBorder="1" applyAlignment="1">
      <alignment/>
    </xf>
    <xf numFmtId="2" fontId="21" fillId="0" borderId="38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5" fillId="0" borderId="33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2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49" fontId="0" fillId="0" borderId="3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25" fillId="0" borderId="25" xfId="0" applyNumberFormat="1" applyFont="1" applyBorder="1" applyAlignment="1">
      <alignment horizontal="right"/>
    </xf>
    <xf numFmtId="0" fontId="21" fillId="0" borderId="39" xfId="0" applyFont="1" applyBorder="1" applyAlignment="1">
      <alignment wrapText="1"/>
    </xf>
    <xf numFmtId="2" fontId="21" fillId="0" borderId="36" xfId="0" applyNumberFormat="1" applyFont="1" applyBorder="1" applyAlignment="1">
      <alignment horizontal="right" wrapText="1"/>
    </xf>
    <xf numFmtId="0" fontId="21" fillId="2" borderId="27" xfId="0" applyFont="1" applyFill="1" applyBorder="1" applyAlignment="1">
      <alignment wrapText="1"/>
    </xf>
    <xf numFmtId="0" fontId="26" fillId="0" borderId="33" xfId="0" applyFont="1" applyBorder="1" applyAlignment="1">
      <alignment wrapText="1"/>
    </xf>
    <xf numFmtId="0" fontId="21" fillId="0" borderId="4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0" fontId="26" fillId="0" borderId="45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2" fontId="21" fillId="0" borderId="25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49" fontId="27" fillId="0" borderId="25" xfId="0" applyNumberFormat="1" applyFont="1" applyBorder="1" applyAlignment="1">
      <alignment horizontal="right"/>
    </xf>
    <xf numFmtId="0" fontId="27" fillId="0" borderId="40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11" xfId="0" applyFont="1" applyBorder="1" applyAlignment="1">
      <alignment/>
    </xf>
    <xf numFmtId="49" fontId="28" fillId="0" borderId="2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7" fillId="0" borderId="47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2" fontId="27" fillId="0" borderId="25" xfId="0" applyNumberFormat="1" applyFont="1" applyBorder="1" applyAlignment="1">
      <alignment/>
    </xf>
    <xf numFmtId="2" fontId="27" fillId="0" borderId="40" xfId="0" applyNumberFormat="1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7">
      <selection activeCell="B2" sqref="B2:Y2"/>
    </sheetView>
  </sheetViews>
  <sheetFormatPr defaultColWidth="9.00390625" defaultRowHeight="12.75"/>
  <cols>
    <col min="1" max="1" width="3.625" style="33" customWidth="1"/>
    <col min="2" max="2" width="22.00390625" style="0" customWidth="1"/>
    <col min="3" max="3" width="8.125" style="0" hidden="1" customWidth="1"/>
    <col min="4" max="4" width="9.75390625" style="0" hidden="1" customWidth="1"/>
    <col min="5" max="5" width="9.875" style="0" hidden="1" customWidth="1"/>
    <col min="6" max="6" width="10.25390625" style="0" hidden="1" customWidth="1"/>
    <col min="7" max="7" width="0.12890625" style="0" hidden="1" customWidth="1"/>
    <col min="8" max="8" width="9.625" style="0" hidden="1" customWidth="1"/>
    <col min="9" max="9" width="10.00390625" style="0" hidden="1" customWidth="1"/>
    <col min="10" max="10" width="9.125" style="0" hidden="1" customWidth="1"/>
    <col min="11" max="11" width="9.625" style="0" hidden="1" customWidth="1"/>
    <col min="12" max="12" width="8.375" style="0" customWidth="1"/>
    <col min="13" max="13" width="8.875" style="0" customWidth="1"/>
    <col min="14" max="14" width="8.375" style="0" customWidth="1"/>
    <col min="15" max="15" width="8.875" style="0" customWidth="1"/>
    <col min="16" max="16" width="8.25390625" style="0" customWidth="1"/>
    <col min="17" max="17" width="8.75390625" style="0" customWidth="1"/>
    <col min="18" max="18" width="7.875" style="0" customWidth="1"/>
    <col min="19" max="19" width="8.75390625" style="0" customWidth="1"/>
    <col min="20" max="20" width="7.875" style="0" customWidth="1"/>
    <col min="21" max="21" width="8.875" style="0" customWidth="1"/>
    <col min="22" max="22" width="8.25390625" style="0" customWidth="1"/>
    <col min="23" max="23" width="8.75390625" style="0" customWidth="1"/>
    <col min="24" max="24" width="8.875" style="0" customWidth="1"/>
  </cols>
  <sheetData>
    <row r="1" spans="2:30" ht="12.75" customHeight="1">
      <c r="B1" s="100" t="s">
        <v>77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100" t="s">
        <v>76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  <c r="W2" s="101"/>
      <c r="X2" s="101"/>
      <c r="Y2" s="101"/>
      <c r="Z2" s="4"/>
      <c r="AA2" s="4"/>
      <c r="AB2" s="4"/>
      <c r="AC2" s="4"/>
      <c r="AD2" s="4"/>
    </row>
    <row r="3" spans="2:30" ht="12.75" customHeight="1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3"/>
      <c r="AA3" s="3"/>
      <c r="AB3" s="3"/>
      <c r="AC3" s="3"/>
      <c r="AD3" s="3"/>
    </row>
    <row r="4" spans="2:30" ht="15" customHeight="1">
      <c r="B4" s="98" t="s">
        <v>10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2"/>
      <c r="AA4" s="2"/>
      <c r="AB4" s="2"/>
      <c r="AC4" s="2"/>
      <c r="AD4" s="2"/>
    </row>
    <row r="5" spans="2:30" ht="16.5" customHeight="1" thickBot="1">
      <c r="B5" s="98" t="s">
        <v>46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6.75" customHeight="1" thickBot="1">
      <c r="A7" s="43" t="s">
        <v>27</v>
      </c>
      <c r="B7" s="34" t="s">
        <v>7</v>
      </c>
      <c r="C7" s="46" t="s">
        <v>47</v>
      </c>
      <c r="D7" s="57" t="s">
        <v>50</v>
      </c>
      <c r="E7" s="57" t="s">
        <v>56</v>
      </c>
      <c r="F7" s="57" t="s">
        <v>57</v>
      </c>
      <c r="G7" s="57" t="s">
        <v>58</v>
      </c>
      <c r="H7" s="57" t="s">
        <v>61</v>
      </c>
      <c r="I7" s="57" t="s">
        <v>67</v>
      </c>
      <c r="J7" s="57" t="s">
        <v>68</v>
      </c>
      <c r="K7" s="57" t="s">
        <v>73</v>
      </c>
      <c r="L7" s="6" t="s">
        <v>11</v>
      </c>
      <c r="M7" s="5" t="s">
        <v>12</v>
      </c>
      <c r="N7" s="5" t="s">
        <v>13</v>
      </c>
      <c r="O7" s="5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22</v>
      </c>
      <c r="W7" s="17" t="s">
        <v>21</v>
      </c>
      <c r="X7" s="57" t="s">
        <v>74</v>
      </c>
      <c r="Y7" s="23" t="s">
        <v>75</v>
      </c>
      <c r="Z7" s="1"/>
      <c r="AA7" s="1"/>
      <c r="AB7" s="1"/>
      <c r="AC7" s="1"/>
      <c r="AD7" s="1"/>
    </row>
    <row r="8" spans="1:25" ht="13.5" thickBot="1">
      <c r="A8" s="44" t="s">
        <v>28</v>
      </c>
      <c r="B8" s="35" t="s">
        <v>1</v>
      </c>
      <c r="C8" s="68">
        <v>51401.9</v>
      </c>
      <c r="D8" s="71">
        <v>61926.47</v>
      </c>
      <c r="E8" s="76">
        <v>63122.4</v>
      </c>
      <c r="F8" s="68">
        <v>68513.23</v>
      </c>
      <c r="G8" s="83">
        <v>70246.8</v>
      </c>
      <c r="H8" s="68">
        <v>70246.8</v>
      </c>
      <c r="I8" s="68">
        <v>70266.33</v>
      </c>
      <c r="J8" s="68">
        <v>70000.68</v>
      </c>
      <c r="K8" s="68">
        <v>70000.68</v>
      </c>
      <c r="L8" s="7">
        <v>5445.33</v>
      </c>
      <c r="M8" s="7">
        <v>5445.33</v>
      </c>
      <c r="N8" s="7">
        <v>5442.72</v>
      </c>
      <c r="O8" s="7">
        <v>5442.72</v>
      </c>
      <c r="P8" s="7">
        <v>5442.72</v>
      </c>
      <c r="Q8" s="7">
        <v>5442.72</v>
      </c>
      <c r="R8" s="7">
        <v>5442.72</v>
      </c>
      <c r="S8" s="7">
        <v>5442.72</v>
      </c>
      <c r="T8" s="7">
        <v>5442.72</v>
      </c>
      <c r="U8" s="7">
        <v>5442.72</v>
      </c>
      <c r="V8" s="7">
        <v>5442.72</v>
      </c>
      <c r="W8" s="7">
        <v>5442.72</v>
      </c>
      <c r="X8" s="58">
        <f>SUM(L8:W8)</f>
        <v>65317.86000000001</v>
      </c>
      <c r="Y8" s="55">
        <f>SUM(C8:W8)</f>
        <v>661043.1499999997</v>
      </c>
    </row>
    <row r="9" spans="1:25" ht="13.5" thickBot="1">
      <c r="A9" s="44"/>
      <c r="B9" s="35" t="s">
        <v>69</v>
      </c>
      <c r="C9" s="83"/>
      <c r="D9" s="71"/>
      <c r="E9" s="71"/>
      <c r="F9" s="83"/>
      <c r="G9" s="83"/>
      <c r="H9" s="83"/>
      <c r="I9" s="83">
        <v>0</v>
      </c>
      <c r="J9" s="83">
        <v>4192.9</v>
      </c>
      <c r="K9" s="83">
        <v>2532.77</v>
      </c>
      <c r="L9" s="7">
        <f>39.39+34.86</f>
        <v>74.25</v>
      </c>
      <c r="M9" s="7">
        <f>39.39+34.86</f>
        <v>74.25</v>
      </c>
      <c r="N9" s="7">
        <f>39.4+34.88</f>
        <v>74.28</v>
      </c>
      <c r="O9" s="7">
        <f>39.4+34.88</f>
        <v>74.28</v>
      </c>
      <c r="P9" s="7">
        <f>39.4+34.88</f>
        <v>74.28</v>
      </c>
      <c r="Q9" s="7">
        <f>39.4+34.88</f>
        <v>74.28</v>
      </c>
      <c r="R9" s="8">
        <f aca="true" t="shared" si="0" ref="R9:W9">40.12+38.83</f>
        <v>78.94999999999999</v>
      </c>
      <c r="S9" s="8">
        <f t="shared" si="0"/>
        <v>78.94999999999999</v>
      </c>
      <c r="T9" s="8">
        <f t="shared" si="0"/>
        <v>78.94999999999999</v>
      </c>
      <c r="U9" s="8">
        <f t="shared" si="0"/>
        <v>78.94999999999999</v>
      </c>
      <c r="V9" s="8">
        <f t="shared" si="0"/>
        <v>78.94999999999999</v>
      </c>
      <c r="W9" s="8">
        <f t="shared" si="0"/>
        <v>78.94999999999999</v>
      </c>
      <c r="X9" s="58">
        <f>SUM(L9:W9)</f>
        <v>919.3200000000002</v>
      </c>
      <c r="Y9" s="55">
        <f>SUM(C9:W9)</f>
        <v>7644.989999999998</v>
      </c>
    </row>
    <row r="10" spans="1:25" s="92" customFormat="1" ht="13.5" thickBot="1">
      <c r="A10" s="84" t="s">
        <v>29</v>
      </c>
      <c r="B10" s="85" t="s">
        <v>2</v>
      </c>
      <c r="C10" s="86">
        <f aca="true" t="shared" si="1" ref="C10:L10">SUM(C11:C25)</f>
        <v>42840.37</v>
      </c>
      <c r="D10" s="87">
        <f t="shared" si="1"/>
        <v>70612.23000000001</v>
      </c>
      <c r="E10" s="88">
        <f t="shared" si="1"/>
        <v>71039.65000000001</v>
      </c>
      <c r="F10" s="89">
        <f t="shared" si="1"/>
        <v>77132.4</v>
      </c>
      <c r="G10" s="89">
        <f t="shared" si="1"/>
        <v>73305.1</v>
      </c>
      <c r="H10" s="89">
        <f>SUM(H11:H25)</f>
        <v>70752.94</v>
      </c>
      <c r="I10" s="89">
        <f>SUM(I11:I25)</f>
        <v>65684</v>
      </c>
      <c r="J10" s="89">
        <f>SUM(J11:J25)</f>
        <v>81425.23</v>
      </c>
      <c r="K10" s="89">
        <f t="shared" si="1"/>
        <v>78764.81</v>
      </c>
      <c r="L10" s="90">
        <f t="shared" si="1"/>
        <v>5657.410000000001</v>
      </c>
      <c r="M10" s="90">
        <f aca="true" t="shared" si="2" ref="M10:W10">SUM(M11:M25)</f>
        <v>4518.64</v>
      </c>
      <c r="N10" s="90">
        <f t="shared" si="2"/>
        <v>4407.41</v>
      </c>
      <c r="O10" s="90">
        <f t="shared" si="2"/>
        <v>7294.69</v>
      </c>
      <c r="P10" s="90">
        <f t="shared" si="2"/>
        <v>5410.39</v>
      </c>
      <c r="Q10" s="90">
        <f t="shared" si="2"/>
        <v>4151.31</v>
      </c>
      <c r="R10" s="90">
        <f t="shared" si="2"/>
        <v>4726.380000000001</v>
      </c>
      <c r="S10" s="90">
        <f t="shared" si="2"/>
        <v>5272.43</v>
      </c>
      <c r="T10" s="90">
        <f t="shared" si="2"/>
        <v>4140.66</v>
      </c>
      <c r="U10" s="90">
        <f t="shared" si="2"/>
        <v>5877.52</v>
      </c>
      <c r="V10" s="90">
        <f t="shared" si="2"/>
        <v>5378.87</v>
      </c>
      <c r="W10" s="87">
        <f t="shared" si="2"/>
        <v>8376.43</v>
      </c>
      <c r="X10" s="89">
        <f>SUM(L10:W10)</f>
        <v>65212.140000000014</v>
      </c>
      <c r="Y10" s="91">
        <f>SUM(C10:W10)</f>
        <v>696768.8700000002</v>
      </c>
    </row>
    <row r="11" spans="1:25" ht="13.5" thickBot="1">
      <c r="A11" s="44" t="s">
        <v>30</v>
      </c>
      <c r="B11" s="37" t="s">
        <v>4</v>
      </c>
      <c r="C11" s="52">
        <v>10849.35</v>
      </c>
      <c r="D11" s="72">
        <v>12236.71</v>
      </c>
      <c r="E11" s="72">
        <v>14627.77</v>
      </c>
      <c r="F11" s="52">
        <v>15042.47</v>
      </c>
      <c r="G11" s="52">
        <v>17386.36</v>
      </c>
      <c r="H11" s="52">
        <v>16192.62</v>
      </c>
      <c r="I11" s="52">
        <v>14401.92</v>
      </c>
      <c r="J11" s="52">
        <v>14088.89</v>
      </c>
      <c r="K11" s="52">
        <v>16678.03</v>
      </c>
      <c r="L11" s="7"/>
      <c r="M11" s="8"/>
      <c r="N11" s="8"/>
      <c r="O11" s="8">
        <v>40.97</v>
      </c>
      <c r="P11" s="8">
        <v>31.3</v>
      </c>
      <c r="Q11" s="8">
        <v>12.17</v>
      </c>
      <c r="R11" s="8">
        <v>32.06</v>
      </c>
      <c r="S11" s="8">
        <v>23.68</v>
      </c>
      <c r="T11" s="8">
        <v>5.93</v>
      </c>
      <c r="U11" s="8">
        <v>21.22</v>
      </c>
      <c r="V11" s="8">
        <v>17.67</v>
      </c>
      <c r="W11" s="18">
        <v>11.58</v>
      </c>
      <c r="X11" s="59">
        <f aca="true" t="shared" si="3" ref="X11:X27">SUM(L11:W11)</f>
        <v>196.58</v>
      </c>
      <c r="Y11" s="64">
        <f aca="true" t="shared" si="4" ref="Y11:Y25">SUM(C11:W11)</f>
        <v>131700.69999999998</v>
      </c>
    </row>
    <row r="12" spans="1:25" ht="12.75" customHeight="1" thickBot="1">
      <c r="A12" s="44" t="s">
        <v>31</v>
      </c>
      <c r="B12" s="38" t="s">
        <v>62</v>
      </c>
      <c r="C12" s="53">
        <v>12617.15</v>
      </c>
      <c r="D12" s="73">
        <v>6817.41</v>
      </c>
      <c r="E12" s="73">
        <v>96.8</v>
      </c>
      <c r="F12" s="53">
        <v>12.19</v>
      </c>
      <c r="G12" s="53">
        <v>933.34</v>
      </c>
      <c r="H12" s="53">
        <v>611.06</v>
      </c>
      <c r="I12" s="53">
        <v>38.62</v>
      </c>
      <c r="J12" s="53">
        <v>0</v>
      </c>
      <c r="K12" s="53">
        <v>0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9">
        <v>3840</v>
      </c>
      <c r="X12" s="59">
        <f t="shared" si="3"/>
        <v>3840</v>
      </c>
      <c r="Y12" s="64">
        <f t="shared" si="4"/>
        <v>24966.569999999996</v>
      </c>
    </row>
    <row r="13" spans="1:25" ht="12.75" customHeight="1" thickBot="1">
      <c r="A13" s="44" t="s">
        <v>32</v>
      </c>
      <c r="B13" s="36" t="s">
        <v>5</v>
      </c>
      <c r="C13" s="53">
        <v>0</v>
      </c>
      <c r="D13" s="73">
        <v>1310.74</v>
      </c>
      <c r="E13" s="73">
        <v>0</v>
      </c>
      <c r="F13" s="53">
        <v>0</v>
      </c>
      <c r="G13" s="53">
        <v>1559.6</v>
      </c>
      <c r="H13" s="53">
        <v>0</v>
      </c>
      <c r="I13" s="53">
        <v>0</v>
      </c>
      <c r="J13" s="53">
        <v>1659.1</v>
      </c>
      <c r="K13" s="53">
        <v>1931.6</v>
      </c>
      <c r="L13" s="9"/>
      <c r="M13" s="10"/>
      <c r="N13" s="10"/>
      <c r="O13" s="10">
        <v>2820.3</v>
      </c>
      <c r="P13" s="10"/>
      <c r="Q13" s="10"/>
      <c r="R13" s="10"/>
      <c r="S13" s="10"/>
      <c r="T13" s="10"/>
      <c r="U13" s="10"/>
      <c r="V13" s="10"/>
      <c r="W13" s="19"/>
      <c r="X13" s="59">
        <f t="shared" si="3"/>
        <v>2820.3</v>
      </c>
      <c r="Y13" s="64">
        <f t="shared" si="4"/>
        <v>9281.34</v>
      </c>
    </row>
    <row r="14" spans="1:25" ht="17.25" customHeight="1" thickBot="1">
      <c r="A14" s="44" t="s">
        <v>33</v>
      </c>
      <c r="B14" s="36" t="s">
        <v>51</v>
      </c>
      <c r="C14" s="53">
        <v>0</v>
      </c>
      <c r="D14" s="73">
        <v>706.58</v>
      </c>
      <c r="E14" s="73">
        <v>0</v>
      </c>
      <c r="F14" s="53">
        <v>0</v>
      </c>
      <c r="G14" s="53"/>
      <c r="H14" s="53">
        <v>0</v>
      </c>
      <c r="I14" s="53">
        <v>800</v>
      </c>
      <c r="J14" s="53">
        <v>0</v>
      </c>
      <c r="K14" s="53">
        <v>800</v>
      </c>
      <c r="L14" s="9"/>
      <c r="M14" s="10">
        <v>400</v>
      </c>
      <c r="N14" s="10"/>
      <c r="O14" s="10"/>
      <c r="P14" s="10"/>
      <c r="Q14" s="10"/>
      <c r="R14" s="10"/>
      <c r="S14" s="10"/>
      <c r="T14" s="10"/>
      <c r="U14" s="10"/>
      <c r="V14" s="10"/>
      <c r="W14" s="19"/>
      <c r="X14" s="59">
        <f t="shared" si="3"/>
        <v>400</v>
      </c>
      <c r="Y14" s="64">
        <f t="shared" si="4"/>
        <v>2706.58</v>
      </c>
    </row>
    <row r="15" spans="1:25" ht="13.5" customHeight="1" thickBot="1">
      <c r="A15" s="44" t="s">
        <v>34</v>
      </c>
      <c r="B15" s="38" t="s">
        <v>59</v>
      </c>
      <c r="C15" s="53">
        <v>1784.56</v>
      </c>
      <c r="D15" s="73">
        <v>11932.05</v>
      </c>
      <c r="E15" s="73">
        <v>10776.51</v>
      </c>
      <c r="F15" s="53">
        <v>11702.83</v>
      </c>
      <c r="G15" s="53">
        <v>638.9</v>
      </c>
      <c r="H15" s="53">
        <v>5337.09</v>
      </c>
      <c r="I15" s="53">
        <v>1111.59</v>
      </c>
      <c r="J15" s="53">
        <v>10259.68</v>
      </c>
      <c r="K15" s="53">
        <v>105</v>
      </c>
      <c r="L15" s="9"/>
      <c r="M15" s="10"/>
      <c r="N15" s="10">
        <v>45</v>
      </c>
      <c r="O15" s="10"/>
      <c r="P15" s="10"/>
      <c r="Q15" s="10"/>
      <c r="R15" s="10"/>
      <c r="S15" s="10"/>
      <c r="T15" s="10"/>
      <c r="U15" s="10"/>
      <c r="V15" s="10">
        <v>60</v>
      </c>
      <c r="W15" s="19">
        <v>60</v>
      </c>
      <c r="X15" s="59">
        <f t="shared" si="3"/>
        <v>165</v>
      </c>
      <c r="Y15" s="64">
        <f t="shared" si="4"/>
        <v>53813.21</v>
      </c>
    </row>
    <row r="16" spans="1:25" ht="23.25" customHeight="1" thickBot="1">
      <c r="A16" s="44" t="s">
        <v>35</v>
      </c>
      <c r="B16" s="38" t="s">
        <v>53</v>
      </c>
      <c r="C16" s="53">
        <v>0</v>
      </c>
      <c r="D16" s="73">
        <v>1140</v>
      </c>
      <c r="E16" s="73">
        <v>256</v>
      </c>
      <c r="F16" s="53">
        <v>0</v>
      </c>
      <c r="G16" s="53">
        <v>13.57</v>
      </c>
      <c r="H16" s="53">
        <v>0</v>
      </c>
      <c r="I16" s="53">
        <v>786</v>
      </c>
      <c r="J16" s="53">
        <v>150.73</v>
      </c>
      <c r="K16" s="53">
        <v>92</v>
      </c>
      <c r="L16" s="9">
        <v>52.81</v>
      </c>
      <c r="M16" s="10">
        <v>29</v>
      </c>
      <c r="N16" s="10"/>
      <c r="O16" s="10"/>
      <c r="P16" s="10"/>
      <c r="Q16" s="10"/>
      <c r="R16" s="10"/>
      <c r="S16" s="10"/>
      <c r="T16" s="10"/>
      <c r="U16" s="10"/>
      <c r="V16" s="10"/>
      <c r="W16" s="19"/>
      <c r="X16" s="59">
        <f t="shared" si="3"/>
        <v>81.81</v>
      </c>
      <c r="Y16" s="64">
        <f t="shared" si="4"/>
        <v>2520.1099999999997</v>
      </c>
    </row>
    <row r="17" spans="1:25" ht="15" customHeight="1" thickBot="1">
      <c r="A17" s="44" t="s">
        <v>36</v>
      </c>
      <c r="B17" s="38" t="s">
        <v>70</v>
      </c>
      <c r="C17" s="53">
        <v>142.98</v>
      </c>
      <c r="D17" s="73">
        <v>2432.33</v>
      </c>
      <c r="E17" s="73">
        <v>1406.02</v>
      </c>
      <c r="F17" s="53">
        <v>0</v>
      </c>
      <c r="G17" s="53"/>
      <c r="H17" s="53">
        <v>0</v>
      </c>
      <c r="I17" s="53">
        <v>0</v>
      </c>
      <c r="J17" s="53">
        <v>3577.74</v>
      </c>
      <c r="K17" s="53">
        <v>1644.83</v>
      </c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9"/>
      <c r="X17" s="59">
        <f t="shared" si="3"/>
        <v>0</v>
      </c>
      <c r="Y17" s="64">
        <f t="shared" si="4"/>
        <v>9203.9</v>
      </c>
    </row>
    <row r="18" spans="1:25" ht="15" customHeight="1" thickBot="1">
      <c r="A18" s="44"/>
      <c r="B18" s="38" t="s">
        <v>71</v>
      </c>
      <c r="C18" s="53"/>
      <c r="D18" s="73"/>
      <c r="E18" s="73"/>
      <c r="F18" s="53"/>
      <c r="G18" s="53"/>
      <c r="H18" s="53"/>
      <c r="I18" s="53"/>
      <c r="J18" s="53">
        <v>373.97</v>
      </c>
      <c r="K18" s="53">
        <v>471.48</v>
      </c>
      <c r="L18" s="9">
        <v>39.41</v>
      </c>
      <c r="M18" s="9">
        <v>39.41</v>
      </c>
      <c r="N18" s="9">
        <v>39.41</v>
      </c>
      <c r="O18" s="9">
        <v>39.41</v>
      </c>
      <c r="P18" s="9">
        <v>39.41</v>
      </c>
      <c r="Q18" s="9">
        <v>39.41</v>
      </c>
      <c r="R18" s="9">
        <v>39.41</v>
      </c>
      <c r="S18" s="10">
        <v>40.85</v>
      </c>
      <c r="T18" s="10">
        <v>40.13</v>
      </c>
      <c r="U18" s="10">
        <v>40.13</v>
      </c>
      <c r="V18" s="10">
        <v>40.13</v>
      </c>
      <c r="W18" s="10">
        <v>40.13</v>
      </c>
      <c r="X18" s="59">
        <f>SUM(L18:W18)</f>
        <v>477.24</v>
      </c>
      <c r="Y18" s="64">
        <f>SUM(C18:W18)</f>
        <v>1322.6900000000005</v>
      </c>
    </row>
    <row r="19" spans="1:25" ht="15" customHeight="1" thickBot="1">
      <c r="A19" s="44"/>
      <c r="B19" s="38" t="s">
        <v>72</v>
      </c>
      <c r="C19" s="53"/>
      <c r="D19" s="73"/>
      <c r="E19" s="73"/>
      <c r="F19" s="53"/>
      <c r="G19" s="53"/>
      <c r="H19" s="53"/>
      <c r="I19" s="53"/>
      <c r="J19" s="53">
        <v>241.32</v>
      </c>
      <c r="K19" s="53">
        <v>416.88</v>
      </c>
      <c r="L19" s="9">
        <v>34.89</v>
      </c>
      <c r="M19" s="9">
        <v>34.89</v>
      </c>
      <c r="N19" s="9">
        <v>34.89</v>
      </c>
      <c r="O19" s="9">
        <v>34.89</v>
      </c>
      <c r="P19" s="9">
        <v>34.89</v>
      </c>
      <c r="Q19" s="9">
        <v>34.89</v>
      </c>
      <c r="R19" s="9">
        <v>34.89</v>
      </c>
      <c r="S19" s="10">
        <v>38.82</v>
      </c>
      <c r="T19" s="10">
        <v>38.82</v>
      </c>
      <c r="U19" s="10">
        <v>38.82</v>
      </c>
      <c r="V19" s="10">
        <v>38.82</v>
      </c>
      <c r="W19" s="10">
        <v>38.82</v>
      </c>
      <c r="X19" s="59">
        <f>SUM(L19:W19)</f>
        <v>438.3299999999999</v>
      </c>
      <c r="Y19" s="64">
        <f>SUM(C19:W19)</f>
        <v>1096.53</v>
      </c>
    </row>
    <row r="20" spans="1:25" ht="13.5" customHeight="1" thickBot="1">
      <c r="A20" s="44" t="s">
        <v>37</v>
      </c>
      <c r="B20" s="38" t="s">
        <v>6</v>
      </c>
      <c r="C20" s="53">
        <v>914.43</v>
      </c>
      <c r="D20" s="73">
        <v>552.94</v>
      </c>
      <c r="E20" s="73">
        <v>641.49</v>
      </c>
      <c r="F20" s="53">
        <v>399.05</v>
      </c>
      <c r="G20" s="53"/>
      <c r="H20" s="53">
        <v>0</v>
      </c>
      <c r="I20" s="53">
        <v>0</v>
      </c>
      <c r="J20" s="53">
        <v>0</v>
      </c>
      <c r="K20" s="53">
        <v>0</v>
      </c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9"/>
      <c r="X20" s="59">
        <f t="shared" si="3"/>
        <v>0</v>
      </c>
      <c r="Y20" s="64">
        <f t="shared" si="4"/>
        <v>2507.91</v>
      </c>
    </row>
    <row r="21" spans="1:25" ht="33.75" customHeight="1" thickBot="1">
      <c r="A21" s="44" t="s">
        <v>38</v>
      </c>
      <c r="B21" s="38" t="s">
        <v>63</v>
      </c>
      <c r="C21" s="53">
        <v>767.99</v>
      </c>
      <c r="D21" s="73">
        <v>2738.66</v>
      </c>
      <c r="E21" s="73">
        <v>3454.08</v>
      </c>
      <c r="F21" s="53">
        <v>3745.89</v>
      </c>
      <c r="G21" s="53">
        <v>2559.43</v>
      </c>
      <c r="H21" s="53">
        <v>3018.63</v>
      </c>
      <c r="I21" s="53">
        <v>3193.12</v>
      </c>
      <c r="J21" s="53">
        <v>3231.74</v>
      </c>
      <c r="K21" s="53">
        <v>3396.1</v>
      </c>
      <c r="L21" s="9">
        <v>273.55</v>
      </c>
      <c r="M21" s="10">
        <v>286.75</v>
      </c>
      <c r="N21" s="10">
        <v>227.57</v>
      </c>
      <c r="O21" s="10">
        <v>272.55</v>
      </c>
      <c r="P21" s="10">
        <v>226.73</v>
      </c>
      <c r="Q21" s="10">
        <v>173.85</v>
      </c>
      <c r="R21" s="10">
        <v>181.7</v>
      </c>
      <c r="S21" s="10">
        <v>154</v>
      </c>
      <c r="T21" s="10">
        <v>173.17</v>
      </c>
      <c r="U21" s="10">
        <v>358.59</v>
      </c>
      <c r="V21" s="10">
        <v>226.75</v>
      </c>
      <c r="W21" s="19">
        <v>192.91</v>
      </c>
      <c r="X21" s="59">
        <f t="shared" si="3"/>
        <v>2748.12</v>
      </c>
      <c r="Y21" s="64">
        <f t="shared" si="4"/>
        <v>28853.759999999995</v>
      </c>
    </row>
    <row r="22" spans="1:25" ht="22.5" customHeight="1" thickBot="1">
      <c r="A22" s="44" t="s">
        <v>39</v>
      </c>
      <c r="B22" s="38" t="s">
        <v>64</v>
      </c>
      <c r="C22" s="53">
        <v>1355.94</v>
      </c>
      <c r="D22" s="73">
        <v>1490.75</v>
      </c>
      <c r="E22" s="73">
        <v>447.44</v>
      </c>
      <c r="F22" s="53">
        <v>345.92</v>
      </c>
      <c r="G22" s="53">
        <v>769.93</v>
      </c>
      <c r="H22" s="53">
        <v>520.23</v>
      </c>
      <c r="I22" s="53">
        <v>454.27</v>
      </c>
      <c r="J22" s="53">
        <v>353.5</v>
      </c>
      <c r="K22" s="53">
        <v>342.58</v>
      </c>
      <c r="L22" s="9">
        <v>21.64</v>
      </c>
      <c r="M22" s="10">
        <v>18.66</v>
      </c>
      <c r="N22" s="10">
        <v>16.25</v>
      </c>
      <c r="O22" s="10">
        <v>18.91</v>
      </c>
      <c r="P22" s="10">
        <v>2</v>
      </c>
      <c r="Q22" s="10">
        <v>28.35</v>
      </c>
      <c r="R22" s="10">
        <v>31.79</v>
      </c>
      <c r="S22" s="10">
        <v>37.03</v>
      </c>
      <c r="T22" s="10">
        <v>55.03</v>
      </c>
      <c r="U22" s="10">
        <v>13.61</v>
      </c>
      <c r="V22" s="10">
        <v>50.23</v>
      </c>
      <c r="W22" s="19">
        <v>17.68</v>
      </c>
      <c r="X22" s="59">
        <f t="shared" si="3"/>
        <v>311.18</v>
      </c>
      <c r="Y22" s="64">
        <f t="shared" si="4"/>
        <v>6391.740000000001</v>
      </c>
    </row>
    <row r="23" spans="1:25" ht="34.5" thickBot="1">
      <c r="A23" s="44" t="s">
        <v>40</v>
      </c>
      <c r="B23" s="38" t="s">
        <v>65</v>
      </c>
      <c r="C23" s="53">
        <v>411.84</v>
      </c>
      <c r="D23" s="73">
        <v>2414.23</v>
      </c>
      <c r="E23" s="73">
        <v>2319.08</v>
      </c>
      <c r="F23" s="53">
        <v>3389.91</v>
      </c>
      <c r="G23" s="53">
        <v>2985.43</v>
      </c>
      <c r="H23" s="53">
        <v>3873.83</v>
      </c>
      <c r="I23" s="53">
        <v>3322.62</v>
      </c>
      <c r="J23" s="53">
        <v>3486.47</v>
      </c>
      <c r="K23" s="53">
        <v>3821.16</v>
      </c>
      <c r="L23" s="9">
        <f>13.51+130.9+161.23</f>
        <v>305.64</v>
      </c>
      <c r="M23" s="10">
        <f>12.73+182.38+156.3</f>
        <v>351.40999999999997</v>
      </c>
      <c r="N23" s="10">
        <f>162.93+11.07+121.54</f>
        <v>295.54</v>
      </c>
      <c r="O23" s="10">
        <f>11.84+134.37+431.76</f>
        <v>577.97</v>
      </c>
      <c r="P23" s="10">
        <f>11.56+148.37+117.02</f>
        <v>276.95</v>
      </c>
      <c r="Q23" s="10">
        <f>13.43+103.27+207.19</f>
        <v>323.89</v>
      </c>
      <c r="R23" s="10">
        <f>12.91+174.9+94.36</f>
        <v>282.17</v>
      </c>
      <c r="S23" s="10">
        <f>11.83+107.51+150.43</f>
        <v>269.77</v>
      </c>
      <c r="T23" s="10">
        <f>8.61+95.62+136.97</f>
        <v>241.2</v>
      </c>
      <c r="U23" s="10">
        <f>8.73+153.17+389.2</f>
        <v>551.0999999999999</v>
      </c>
      <c r="V23" s="10">
        <f>9.65+96.31+100.24</f>
        <v>206.2</v>
      </c>
      <c r="W23" s="19">
        <f>9.62+291.29+168.25</f>
        <v>469.16</v>
      </c>
      <c r="X23" s="59">
        <f t="shared" si="3"/>
        <v>4151</v>
      </c>
      <c r="Y23" s="64">
        <f t="shared" si="4"/>
        <v>30175.57</v>
      </c>
    </row>
    <row r="24" spans="1:25" ht="15.75" customHeight="1" thickBot="1">
      <c r="A24" s="44" t="s">
        <v>41</v>
      </c>
      <c r="B24" s="38" t="s">
        <v>9</v>
      </c>
      <c r="C24" s="53">
        <v>12244.91</v>
      </c>
      <c r="D24" s="73">
        <v>23153.6</v>
      </c>
      <c r="E24" s="73">
        <v>29224.82</v>
      </c>
      <c r="F24" s="53">
        <v>33441.23</v>
      </c>
      <c r="G24" s="53">
        <v>35152.68</v>
      </c>
      <c r="H24" s="53">
        <v>30398.25</v>
      </c>
      <c r="I24" s="53">
        <v>27534.33</v>
      </c>
      <c r="J24" s="53">
        <v>30979.51</v>
      </c>
      <c r="K24" s="53">
        <v>36017.04</v>
      </c>
      <c r="L24" s="9">
        <f>5657.41-1959.08</f>
        <v>3698.33</v>
      </c>
      <c r="M24" s="10">
        <f>4518.64-2057.95</f>
        <v>2460.6900000000005</v>
      </c>
      <c r="N24" s="10">
        <f>4407.41-1926.88</f>
        <v>2480.5299999999997</v>
      </c>
      <c r="O24" s="10">
        <f>7294.69-4797.99</f>
        <v>2496.7</v>
      </c>
      <c r="P24" s="10">
        <f>5410.39-1741.23</f>
        <v>3669.1600000000003</v>
      </c>
      <c r="Q24" s="10">
        <f>4151.31-1409.75</f>
        <v>2741.5600000000004</v>
      </c>
      <c r="R24" s="10">
        <f>4726.38-1994.57</f>
        <v>2731.8100000000004</v>
      </c>
      <c r="S24" s="10">
        <f>5272.43-1683.54</f>
        <v>3588.8900000000003</v>
      </c>
      <c r="T24" s="10">
        <f>4140.66-1656.66</f>
        <v>2484</v>
      </c>
      <c r="U24" s="10">
        <f>5877.52-2167.86</f>
        <v>3709.6600000000003</v>
      </c>
      <c r="V24" s="10">
        <f>5378.87-1657.34</f>
        <v>3721.5299999999997</v>
      </c>
      <c r="W24" s="19">
        <f>4536.43-1847.82</f>
        <v>2688.6100000000006</v>
      </c>
      <c r="X24" s="59">
        <f t="shared" si="3"/>
        <v>36471.47</v>
      </c>
      <c r="Y24" s="64">
        <f t="shared" si="4"/>
        <v>294617.84</v>
      </c>
    </row>
    <row r="25" spans="1:25" ht="13.5" customHeight="1" thickBot="1">
      <c r="A25" s="44" t="s">
        <v>42</v>
      </c>
      <c r="B25" s="39" t="s">
        <v>3</v>
      </c>
      <c r="C25" s="54">
        <v>1751.22</v>
      </c>
      <c r="D25" s="74">
        <v>3686.23</v>
      </c>
      <c r="E25" s="74">
        <v>7789.64</v>
      </c>
      <c r="F25" s="54">
        <v>9052.91</v>
      </c>
      <c r="G25" s="54">
        <v>11305.86</v>
      </c>
      <c r="H25" s="54">
        <v>10801.23</v>
      </c>
      <c r="I25" s="54">
        <v>14041.53</v>
      </c>
      <c r="J25" s="54">
        <v>13022.58</v>
      </c>
      <c r="K25" s="54">
        <v>13048.11</v>
      </c>
      <c r="L25" s="11">
        <f>990.6+3.25+237.29</f>
        <v>1231.14</v>
      </c>
      <c r="M25" s="12">
        <f>734.2+2.2+161.43</f>
        <v>897.8300000000002</v>
      </c>
      <c r="N25" s="12">
        <f>1036.6+3.26+228.36</f>
        <v>1268.2199999999998</v>
      </c>
      <c r="O25" s="12">
        <f>812+2.44+178.55</f>
        <v>992.99</v>
      </c>
      <c r="P25" s="12">
        <f>923.9+2.84+203.21</f>
        <v>1129.95</v>
      </c>
      <c r="Q25" s="12">
        <f>777+2.33+17.86</f>
        <v>797.19</v>
      </c>
      <c r="R25" s="12">
        <f>1138.9+3.63+250.02</f>
        <v>1392.5500000000002</v>
      </c>
      <c r="S25" s="12">
        <f>920+2.85+196.54</f>
        <v>1119.39</v>
      </c>
      <c r="T25" s="12">
        <f>906.1+2.81+193.47</f>
        <v>1102.3799999999999</v>
      </c>
      <c r="U25" s="12">
        <f>940.4+2.92+201.07</f>
        <v>1144.3899999999999</v>
      </c>
      <c r="V25" s="12">
        <f>836.4+2.59+178.55</f>
        <v>1017.54</v>
      </c>
      <c r="W25" s="20">
        <f>836.4+2.59+178.55</f>
        <v>1017.54</v>
      </c>
      <c r="X25" s="59">
        <f t="shared" si="3"/>
        <v>13111.11</v>
      </c>
      <c r="Y25" s="64">
        <f t="shared" si="4"/>
        <v>97610.42</v>
      </c>
    </row>
    <row r="26" spans="1:25" ht="13.5" customHeight="1" thickBot="1">
      <c r="A26" s="44"/>
      <c r="B26" s="47" t="s">
        <v>60</v>
      </c>
      <c r="C26" s="66"/>
      <c r="D26" s="75"/>
      <c r="E26" s="75"/>
      <c r="F26" s="66"/>
      <c r="G26" s="82">
        <f>G8*5%</f>
        <v>3512.34</v>
      </c>
      <c r="H26" s="82">
        <f>H8*5%</f>
        <v>3512.34</v>
      </c>
      <c r="I26" s="77">
        <f>I8*5%</f>
        <v>3513.3165000000004</v>
      </c>
      <c r="J26" s="77">
        <f>J8*5%</f>
        <v>3500.0339999999997</v>
      </c>
      <c r="K26" s="77">
        <f>K8*5%</f>
        <v>3500.0339999999997</v>
      </c>
      <c r="L26" s="78">
        <f>(L8+L9)*5%</f>
        <v>275.979</v>
      </c>
      <c r="M26" s="78">
        <f aca="true" t="shared" si="5" ref="M26:W26">(M8+M9)*5%</f>
        <v>275.979</v>
      </c>
      <c r="N26" s="78">
        <f t="shared" si="5"/>
        <v>275.85</v>
      </c>
      <c r="O26" s="78">
        <f t="shared" si="5"/>
        <v>275.85</v>
      </c>
      <c r="P26" s="78">
        <f t="shared" si="5"/>
        <v>275.85</v>
      </c>
      <c r="Q26" s="78">
        <f t="shared" si="5"/>
        <v>275.85</v>
      </c>
      <c r="R26" s="78">
        <f t="shared" si="5"/>
        <v>276.0835</v>
      </c>
      <c r="S26" s="78">
        <f t="shared" si="5"/>
        <v>276.0835</v>
      </c>
      <c r="T26" s="78">
        <f t="shared" si="5"/>
        <v>276.0835</v>
      </c>
      <c r="U26" s="78">
        <f t="shared" si="5"/>
        <v>276.0835</v>
      </c>
      <c r="V26" s="78">
        <f t="shared" si="5"/>
        <v>276.0835</v>
      </c>
      <c r="W26" s="78">
        <f t="shared" si="5"/>
        <v>276.0835</v>
      </c>
      <c r="X26" s="82">
        <f t="shared" si="3"/>
        <v>3311.8590000000004</v>
      </c>
      <c r="Y26" s="64"/>
    </row>
    <row r="27" spans="1:25" ht="13.5" customHeight="1" thickBot="1">
      <c r="A27" s="44"/>
      <c r="B27" s="65" t="s">
        <v>55</v>
      </c>
      <c r="C27" s="66"/>
      <c r="D27" s="75"/>
      <c r="E27" s="75"/>
      <c r="F27" s="66"/>
      <c r="G27" s="66"/>
      <c r="H27" s="66"/>
      <c r="I27" s="66"/>
      <c r="J27" s="82">
        <f aca="true" t="shared" si="6" ref="J27:W27">SUM(J8+J9-J10)-J26</f>
        <v>-10731.684000000008</v>
      </c>
      <c r="K27" s="82">
        <f>SUM(K8+K9-K10)-K26</f>
        <v>-9731.394</v>
      </c>
      <c r="L27" s="79">
        <f t="shared" si="6"/>
        <v>-413.8090000000008</v>
      </c>
      <c r="M27" s="82">
        <f t="shared" si="6"/>
        <v>724.9609999999996</v>
      </c>
      <c r="N27" s="79">
        <f t="shared" si="6"/>
        <v>833.7400000000001</v>
      </c>
      <c r="O27" s="82">
        <f t="shared" si="6"/>
        <v>-2053.5399999999995</v>
      </c>
      <c r="P27" s="79">
        <f t="shared" si="6"/>
        <v>-169.24000000000035</v>
      </c>
      <c r="Q27" s="82">
        <f t="shared" si="6"/>
        <v>1089.8399999999997</v>
      </c>
      <c r="R27" s="79">
        <f t="shared" si="6"/>
        <v>519.2064999999991</v>
      </c>
      <c r="S27" s="82">
        <f t="shared" si="6"/>
        <v>-26.843500000000233</v>
      </c>
      <c r="T27" s="79">
        <f t="shared" si="6"/>
        <v>1104.9265000000003</v>
      </c>
      <c r="U27" s="82">
        <f t="shared" si="6"/>
        <v>-631.9335000000003</v>
      </c>
      <c r="V27" s="79">
        <f t="shared" si="6"/>
        <v>-133.28349999999983</v>
      </c>
      <c r="W27" s="82">
        <f t="shared" si="6"/>
        <v>-3130.8435000000004</v>
      </c>
      <c r="X27" s="82">
        <f t="shared" si="3"/>
        <v>-2286.8190000000022</v>
      </c>
      <c r="Y27" s="64"/>
    </row>
    <row r="28" spans="1:25" ht="26.25" customHeight="1" thickBot="1">
      <c r="A28" s="84" t="s">
        <v>43</v>
      </c>
      <c r="B28" s="93" t="s">
        <v>23</v>
      </c>
      <c r="C28" s="94">
        <v>8561.53</v>
      </c>
      <c r="D28" s="87">
        <f>SUM(D8-D10)</f>
        <v>-8685.76000000001</v>
      </c>
      <c r="E28" s="88">
        <f>SUM(E8-E10)</f>
        <v>-7917.250000000007</v>
      </c>
      <c r="F28" s="89">
        <f>SUM(F8-F10)</f>
        <v>-8619.169999999998</v>
      </c>
      <c r="G28" s="95">
        <f>SUM(G8-G10)-G26</f>
        <v>-6570.640000000003</v>
      </c>
      <c r="H28" s="95">
        <f>SUM(H8-H10)-H26</f>
        <v>-4018.4799999999996</v>
      </c>
      <c r="I28" s="95">
        <f>SUM(I8-I10)-I26</f>
        <v>1069.0135000000014</v>
      </c>
      <c r="J28" s="95">
        <f>SUM(J8+J9-J10)-J26</f>
        <v>-10731.684000000008</v>
      </c>
      <c r="K28" s="95">
        <f>SUM(K8+K9-K10)-K26</f>
        <v>-9731.394</v>
      </c>
      <c r="L28" s="96">
        <f>SUM(L8+L9-L10)-L26</f>
        <v>-413.8090000000008</v>
      </c>
      <c r="M28" s="95">
        <f>SUM(M27+L28)</f>
        <v>311.15199999999874</v>
      </c>
      <c r="N28" s="96">
        <f aca="true" t="shared" si="7" ref="N28:W28">SUM(N27+M28)</f>
        <v>1144.891999999999</v>
      </c>
      <c r="O28" s="95">
        <f t="shared" si="7"/>
        <v>-908.6480000000006</v>
      </c>
      <c r="P28" s="96">
        <f t="shared" si="7"/>
        <v>-1077.8880000000008</v>
      </c>
      <c r="Q28" s="95">
        <f t="shared" si="7"/>
        <v>11.951999999998861</v>
      </c>
      <c r="R28" s="96">
        <f t="shared" si="7"/>
        <v>531.158499999998</v>
      </c>
      <c r="S28" s="95">
        <f t="shared" si="7"/>
        <v>504.3149999999977</v>
      </c>
      <c r="T28" s="96">
        <f t="shared" si="7"/>
        <v>1609.241499999998</v>
      </c>
      <c r="U28" s="95">
        <f t="shared" si="7"/>
        <v>977.3079999999977</v>
      </c>
      <c r="V28" s="96">
        <f t="shared" si="7"/>
        <v>844.0244999999979</v>
      </c>
      <c r="W28" s="95">
        <f t="shared" si="7"/>
        <v>-2286.8190000000022</v>
      </c>
      <c r="X28" s="89"/>
      <c r="Y28" s="97"/>
    </row>
    <row r="29" spans="1:25" ht="25.5" customHeight="1" thickBot="1">
      <c r="A29" s="44" t="s">
        <v>44</v>
      </c>
      <c r="B29" s="40" t="s">
        <v>24</v>
      </c>
      <c r="C29" s="50">
        <v>8561.53</v>
      </c>
      <c r="D29" s="51">
        <f>SUM(D8-D10,C29)</f>
        <v>-124.23000000000866</v>
      </c>
      <c r="E29" s="56">
        <f>SUM(E8-E10,D29)</f>
        <v>-8041.480000000016</v>
      </c>
      <c r="F29" s="60">
        <f>SUM(F8-F10,E29)</f>
        <v>-16660.650000000016</v>
      </c>
      <c r="G29" s="77">
        <f aca="true" t="shared" si="8" ref="G29:L29">SUM(G28+F29)</f>
        <v>-23231.29000000002</v>
      </c>
      <c r="H29" s="77">
        <f t="shared" si="8"/>
        <v>-27249.77000000002</v>
      </c>
      <c r="I29" s="77">
        <f t="shared" si="8"/>
        <v>-26180.756500000018</v>
      </c>
      <c r="J29" s="77">
        <f t="shared" si="8"/>
        <v>-36912.440500000026</v>
      </c>
      <c r="K29" s="77">
        <f t="shared" si="8"/>
        <v>-46643.834500000026</v>
      </c>
      <c r="L29" s="77">
        <f t="shared" si="8"/>
        <v>-47057.64350000003</v>
      </c>
      <c r="M29" s="77">
        <f aca="true" t="shared" si="9" ref="M29:V29">SUM(M27+L29)</f>
        <v>-46332.682500000024</v>
      </c>
      <c r="N29" s="78">
        <f>SUM(N27+M29)</f>
        <v>-45498.94250000003</v>
      </c>
      <c r="O29" s="77">
        <f t="shared" si="9"/>
        <v>-47552.48250000003</v>
      </c>
      <c r="P29" s="78">
        <f t="shared" si="9"/>
        <v>-47721.722500000025</v>
      </c>
      <c r="Q29" s="77">
        <f>SUM(Q27+P29)</f>
        <v>-46631.88250000003</v>
      </c>
      <c r="R29" s="81">
        <f t="shared" si="9"/>
        <v>-46112.67600000003</v>
      </c>
      <c r="S29" s="77">
        <f t="shared" si="9"/>
        <v>-46139.51950000003</v>
      </c>
      <c r="T29" s="80">
        <f t="shared" si="9"/>
        <v>-45034.59300000003</v>
      </c>
      <c r="U29" s="77">
        <f t="shared" si="9"/>
        <v>-45666.52650000003</v>
      </c>
      <c r="V29" s="78">
        <f t="shared" si="9"/>
        <v>-45799.81000000003</v>
      </c>
      <c r="W29" s="77">
        <f>SUM(W27+V29)</f>
        <v>-48930.65350000003</v>
      </c>
      <c r="X29" s="59"/>
      <c r="Y29" s="32"/>
    </row>
    <row r="30" spans="1:25" ht="9.75" customHeight="1" hidden="1" thickBot="1">
      <c r="A30" s="45" t="s">
        <v>45</v>
      </c>
      <c r="B30" s="40" t="s">
        <v>8</v>
      </c>
      <c r="C30" s="47"/>
      <c r="D30" s="47"/>
      <c r="E30" s="69"/>
      <c r="F30" s="69"/>
      <c r="G30" s="69"/>
      <c r="H30" s="69"/>
      <c r="I30" s="69"/>
      <c r="J30" s="69"/>
      <c r="K30" s="69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1"/>
      <c r="X30" s="59"/>
      <c r="Y30" s="25"/>
    </row>
    <row r="31" spans="1:25" ht="15" customHeight="1" hidden="1" thickBot="1">
      <c r="A31" s="45" t="s">
        <v>48</v>
      </c>
      <c r="B31" s="41" t="s">
        <v>25</v>
      </c>
      <c r="C31" s="48"/>
      <c r="D31" s="48"/>
      <c r="E31" s="70"/>
      <c r="F31" s="70"/>
      <c r="G31" s="70"/>
      <c r="H31" s="70"/>
      <c r="I31" s="70"/>
      <c r="J31" s="70"/>
      <c r="K31" s="70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22"/>
      <c r="X31" s="60"/>
      <c r="Y31" s="24"/>
    </row>
    <row r="32" spans="1:25" ht="0.75" customHeight="1" hidden="1" thickBot="1">
      <c r="A32" s="62" t="s">
        <v>52</v>
      </c>
      <c r="B32" s="42" t="s">
        <v>49</v>
      </c>
      <c r="C32" s="49"/>
      <c r="D32" s="49"/>
      <c r="E32" s="67"/>
      <c r="F32" s="67"/>
      <c r="G32" s="67"/>
      <c r="H32" s="67"/>
      <c r="I32" s="67"/>
      <c r="J32" s="67"/>
      <c r="K32" s="6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>
        <f>SUM(W28-W30)</f>
        <v>-2286.8190000000022</v>
      </c>
      <c r="X32" s="61"/>
      <c r="Y32" s="31"/>
    </row>
    <row r="33" spans="1:25" ht="24" customHeight="1" hidden="1" thickBot="1">
      <c r="A33" s="63" t="s">
        <v>54</v>
      </c>
      <c r="B33" s="42" t="s">
        <v>26</v>
      </c>
      <c r="C33" s="49"/>
      <c r="D33" s="67"/>
      <c r="E33" s="67"/>
      <c r="F33" s="67"/>
      <c r="G33" s="67"/>
      <c r="H33" s="67"/>
      <c r="I33" s="67"/>
      <c r="J33" s="67"/>
      <c r="K33" s="6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>
        <f>SUM(W29-W30)</f>
        <v>-48930.65350000003</v>
      </c>
      <c r="X33" s="61"/>
      <c r="Y33" s="31"/>
    </row>
    <row r="34" spans="3:25" ht="13.5" customHeight="1" hidden="1"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</row>
    <row r="35" ht="12.75">
      <c r="B35" t="s">
        <v>66</v>
      </c>
    </row>
    <row r="36" ht="0.75" customHeight="1"/>
    <row r="37" ht="12.75" hidden="1"/>
    <row r="38" ht="12.75" hidden="1"/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2020-02-20T06:23:27Z</cp:lastPrinted>
  <dcterms:created xsi:type="dcterms:W3CDTF">2011-06-16T11:06:26Z</dcterms:created>
  <dcterms:modified xsi:type="dcterms:W3CDTF">2020-02-20T06:23:47Z</dcterms:modified>
  <cp:category/>
  <cp:version/>
  <cp:contentType/>
  <cp:contentStatus/>
</cp:coreProperties>
</file>