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<sst xmlns="http://schemas.openxmlformats.org/spreadsheetml/2006/main" count="78" uniqueCount="78">
  <si>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</si>
  <si>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</si>
  <si>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</si>
  <si>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</si>
  <si>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</si>
  <si>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</si>
  <si>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</si>
  <si>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</si>
  <si>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</si>
  <si>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</si>
  <si>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</si>
  <si>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</si>
  <si>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</si>
  <si>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</si>
  <si>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</si>
  <si>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</si>
  <si>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</si>
  <si>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</si>
  <si>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</si>
  <si>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</si>
  <si>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</si>
  <si>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</si>
  <si>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</si>
  <si>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</si>
  <si>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</si>
  <si>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</si>
  <si>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</si>
  <si>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</si>
  <si>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</si>
  <si>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</si>
  <si>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</si>
  <si>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</si>
  <si>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</si>
  <si>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</si>
  <si>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</si>
  <si>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</si>
  <si>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</si>
  <si>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</si>
  <si>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</si>
  <si>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</si>
  <si>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</si>
  <si>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</si>
  <si>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</si>
  <si>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</si>
  <si>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</si>
  <si>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</si>
  <si>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</si>
  <si>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территории</t>
  </si>
  <si>
    <t>11</t>
  </si>
  <si>
    <t>Итого за 2011 г</t>
  </si>
  <si>
    <t>Проверка дымовых каналов</t>
  </si>
  <si>
    <t>12</t>
  </si>
  <si>
    <t>Результат за месяц</t>
  </si>
  <si>
    <t>по жилому дому г. Унеча ул. Иванова  д.27</t>
  </si>
  <si>
    <t>2010 год</t>
  </si>
  <si>
    <t>Исполнитель /Викторова Л.С./</t>
  </si>
  <si>
    <t>Итого за 2012 г</t>
  </si>
  <si>
    <t xml:space="preserve">Материалы </t>
  </si>
  <si>
    <t>Итого за 2013 г</t>
  </si>
  <si>
    <t>рентабельность 5%</t>
  </si>
  <si>
    <t>Итого за 2014 г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</si>
  <si>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</si>
  <si>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</si>
  <si>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</si>
  <si>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</si>
  <si>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</si>
  <si>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Итого за 2016 г</t>
  </si>
  <si>
    <t>Итого за 2017 г</t>
  </si>
  <si>
    <t>Начислено СОИД</t>
  </si>
  <si>
    <t>Электроэнергия СОИД</t>
  </si>
  <si>
    <t>Холодная вода СОИД</t>
  </si>
  <si>
    <t>Канализация СОИД</t>
  </si>
  <si>
    <t>Итого за 2018 г</t>
  </si>
  <si>
    <t>Итого за 2019 г</t>
  </si>
  <si>
    <t>Всего за 2010-2019</t>
  </si>
  <si>
    <t>Вывоз ТБО (Утилизация)</t>
  </si>
  <si>
    <t>Дом по ул.Иванова д.27 вступил в ООО "Наш дом"  в апреле 2010 года    тариф 8,3 руб с января 2019 года тариф 7,8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</si>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</sst>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6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0" fontId="21" fillId="0" borderId="26" xfId="0" applyFont="1" applyBorder="1" applyAlignment="1">
      <alignment horizontal="left" wrapText="1"/>
    </xf>
    <xf numFmtId="49" fontId="21" fillId="0" borderId="25" xfId="0" applyNumberFormat="1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1" fillId="0" borderId="32" xfId="0" applyFont="1" applyBorder="1" applyAlignment="1">
      <alignment wrapText="1"/>
    </xf>
    <xf numFmtId="2" fontId="21" fillId="0" borderId="12" xfId="0" applyNumberFormat="1" applyFont="1" applyBorder="1" applyAlignment="1">
      <alignment horizontal="right"/>
    </xf>
    <xf numFmtId="2" fontId="21" fillId="0" borderId="33" xfId="0" applyNumberFormat="1" applyFont="1" applyBorder="1" applyAlignment="1">
      <alignment horizontal="right"/>
    </xf>
    <xf numFmtId="2" fontId="21" fillId="0" borderId="34" xfId="0" applyNumberFormat="1" applyFont="1" applyBorder="1" applyAlignment="1">
      <alignment horizontal="right"/>
    </xf>
    <xf numFmtId="0" fontId="21" fillId="2" borderId="32" xfId="0" applyFont="1" applyFill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2" fontId="25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2" borderId="24" xfId="0" applyFill="1" applyBorder="1" applyAlignment="1">
      <alignment/>
    </xf>
    <xf numFmtId="0" fontId="19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5" fillId="0" borderId="29" xfId="0" applyFont="1" applyBorder="1" applyAlignment="1">
      <alignment/>
    </xf>
    <xf numFmtId="2" fontId="21" fillId="0" borderId="32" xfId="0" applyNumberFormat="1" applyFont="1" applyBorder="1" applyAlignment="1">
      <alignment/>
    </xf>
    <xf numFmtId="49" fontId="0" fillId="0" borderId="37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0" fontId="21" fillId="2" borderId="23" xfId="0" applyFont="1" applyFill="1" applyBorder="1" applyAlignment="1">
      <alignment wrapText="1"/>
    </xf>
    <xf numFmtId="0" fontId="23" fillId="0" borderId="39" xfId="0" applyFont="1" applyBorder="1" applyAlignment="1">
      <alignment horizontal="left" vertical="center" wrapText="1"/>
    </xf>
    <xf numFmtId="0" fontId="21" fillId="0" borderId="39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5" fillId="0" borderId="32" xfId="0" applyFont="1" applyBorder="1" applyAlignment="1">
      <alignment/>
    </xf>
    <xf numFmtId="0" fontId="21" fillId="0" borderId="41" xfId="0" applyNumberFormat="1" applyFont="1" applyBorder="1" applyAlignment="1">
      <alignment horizontal="right" wrapText="1"/>
    </xf>
    <xf numFmtId="0" fontId="21" fillId="0" borderId="42" xfId="0" applyFont="1" applyBorder="1" applyAlignment="1">
      <alignment wrapText="1"/>
    </xf>
    <xf numFmtId="0" fontId="21" fillId="0" borderId="42" xfId="0" applyFont="1" applyBorder="1" applyAlignment="1">
      <alignment horizontal="left" wrapText="1"/>
    </xf>
    <xf numFmtId="0" fontId="21" fillId="0" borderId="43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45" xfId="0" applyFont="1" applyBorder="1" applyAlignment="1">
      <alignment/>
    </xf>
    <xf numFmtId="0" fontId="21" fillId="0" borderId="36" xfId="0" applyNumberFormat="1" applyFont="1" applyBorder="1" applyAlignment="1">
      <alignment horizontal="right" wrapText="1"/>
    </xf>
    <xf numFmtId="0" fontId="21" fillId="0" borderId="30" xfId="0" applyFont="1" applyBorder="1" applyAlignment="1">
      <alignment wrapText="1"/>
    </xf>
    <xf numFmtId="0" fontId="21" fillId="0" borderId="30" xfId="0" applyFont="1" applyBorder="1" applyAlignment="1">
      <alignment horizontal="right" wrapText="1"/>
    </xf>
    <xf numFmtId="0" fontId="21" fillId="0" borderId="31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5" fillId="0" borderId="47" xfId="0" applyFont="1" applyBorder="1" applyAlignment="1">
      <alignment/>
    </xf>
    <xf numFmtId="0" fontId="21" fillId="0" borderId="48" xfId="0" applyFont="1" applyBorder="1" applyAlignment="1">
      <alignment wrapText="1"/>
    </xf>
    <xf numFmtId="2" fontId="21" fillId="0" borderId="37" xfId="0" applyNumberFormat="1" applyFont="1" applyBorder="1" applyAlignment="1">
      <alignment/>
    </xf>
    <xf numFmtId="2" fontId="21" fillId="0" borderId="23" xfId="0" applyNumberFormat="1" applyFont="1" applyBorder="1" applyAlignment="1">
      <alignment horizontal="right"/>
    </xf>
    <xf numFmtId="2" fontId="21" fillId="0" borderId="49" xfId="0" applyNumberFormat="1" applyFont="1" applyBorder="1" applyAlignment="1">
      <alignment/>
    </xf>
    <xf numFmtId="2" fontId="21" fillId="0" borderId="32" xfId="0" applyNumberFormat="1" applyFont="1" applyBorder="1" applyAlignment="1">
      <alignment horizontal="right"/>
    </xf>
    <xf numFmtId="2" fontId="21" fillId="0" borderId="23" xfId="0" applyNumberFormat="1" applyFont="1" applyBorder="1" applyAlignment="1">
      <alignment/>
    </xf>
    <xf numFmtId="0" fontId="26" fillId="0" borderId="36" xfId="0" applyFont="1" applyBorder="1" applyAlignment="1">
      <alignment wrapText="1"/>
    </xf>
    <xf numFmtId="2" fontId="21" fillId="0" borderId="37" xfId="0" applyNumberFormat="1" applyFont="1" applyBorder="1" applyAlignment="1">
      <alignment horizontal="right"/>
    </xf>
    <xf numFmtId="49" fontId="22" fillId="0" borderId="30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9" xfId="0" applyFont="1" applyBorder="1" applyAlignment="1">
      <alignment/>
    </xf>
    <xf numFmtId="0" fontId="22" fillId="0" borderId="0" xfId="0" applyFont="1" applyAlignment="1">
      <alignment/>
    </xf>
    <xf numFmtId="0" fontId="27" fillId="0" borderId="47" xfId="0" applyFont="1" applyBorder="1" applyAlignment="1">
      <alignment wrapText="1"/>
    </xf>
    <xf numFmtId="0" fontId="27" fillId="0" borderId="48" xfId="0" applyFont="1" applyBorder="1" applyAlignment="1">
      <alignment/>
    </xf>
    <xf numFmtId="2" fontId="27" fillId="0" borderId="32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0" fontId="27" fillId="0" borderId="35" xfId="0" applyFont="1" applyBorder="1" applyAlignment="1">
      <alignment/>
    </xf>
    <xf numFmtId="0" fontId="22" fillId="0" borderId="24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B1">
      <selection activeCell="B2" sqref="B2:X2"/>
    </sheetView>
  </sheetViews>
  <sheetFormatPr defaultColWidth="9.00390625" defaultRowHeight="12.75"/>
  <cols>
    <col min="1" max="1" width="5.375" style="25" customWidth="1"/>
    <col min="2" max="2" width="20.25390625" style="0" customWidth="1"/>
    <col min="3" max="3" width="7.875" style="0" hidden="1" customWidth="1"/>
    <col min="4" max="4" width="9.00390625" style="0" hidden="1" customWidth="1"/>
    <col min="5" max="5" width="8.875" style="0" hidden="1" customWidth="1"/>
    <col min="6" max="6" width="8.125" style="0" hidden="1" customWidth="1"/>
    <col min="7" max="7" width="9.375" style="0" hidden="1" customWidth="1"/>
    <col min="8" max="8" width="10.25390625" style="0" hidden="1" customWidth="1"/>
    <col min="9" max="9" width="9.00390625" style="0" hidden="1" customWidth="1"/>
    <col min="10" max="10" width="8.625" style="0" hidden="1" customWidth="1"/>
    <col min="11" max="11" width="8.875" style="0" hidden="1" customWidth="1"/>
    <col min="12" max="12" width="8.75390625" style="0" customWidth="1"/>
    <col min="13" max="13" width="8.875" style="0" customWidth="1"/>
    <col min="14" max="14" width="8.375" style="0" customWidth="1"/>
    <col min="15" max="15" width="7.875" style="0" customWidth="1"/>
    <col min="16" max="16" width="8.125" style="0" customWidth="1"/>
    <col min="17" max="17" width="7.75390625" style="0" customWidth="1"/>
    <col min="18" max="19" width="8.375" style="0" customWidth="1"/>
    <col min="20" max="20" width="8.75390625" style="0" customWidth="1"/>
    <col min="21" max="21" width="8.625" style="0" customWidth="1"/>
    <col min="22" max="22" width="7.875" style="0" customWidth="1"/>
    <col min="23" max="23" width="8.125" style="0" customWidth="1"/>
    <col min="24" max="24" width="9.25390625" style="0" customWidth="1"/>
    <col min="25" max="25" width="9.75390625" style="0" customWidth="1"/>
  </cols>
  <sheetData>
    <row r="1" spans="2:30" ht="12.75" customHeight="1">
      <c r="B1" s="101" t="s">
        <v>77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1" t="s">
        <v>76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4"/>
      <c r="Z2" s="4"/>
      <c r="AA2" s="4"/>
      <c r="AB2" s="4"/>
      <c r="AC2" s="4"/>
      <c r="AD2" s="4"/>
    </row>
    <row r="3" spans="2:30" ht="12.75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3"/>
      <c r="AA3" s="3"/>
      <c r="AB3" s="3"/>
      <c r="AC3" s="3"/>
      <c r="AD3" s="3"/>
    </row>
    <row r="4" spans="2:30" ht="15" customHeight="1">
      <c r="B4" s="99" t="s">
        <v>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2"/>
      <c r="AA4" s="2"/>
      <c r="AB4" s="2"/>
      <c r="AC4" s="2"/>
      <c r="AD4" s="2"/>
    </row>
    <row r="5" spans="2:30" ht="16.5" customHeight="1">
      <c r="B5" s="99" t="s">
        <v>53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2"/>
      <c r="AA5" s="2"/>
      <c r="AB5" s="2"/>
      <c r="AC5" s="2"/>
      <c r="AD5" s="2"/>
    </row>
    <row r="6" spans="2:30" ht="1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3" customHeight="1" thickBot="1">
      <c r="A7" s="34" t="s">
        <v>26</v>
      </c>
      <c r="B7" s="26" t="s">
        <v>6</v>
      </c>
      <c r="C7" s="58" t="s">
        <v>54</v>
      </c>
      <c r="D7" s="48" t="s">
        <v>49</v>
      </c>
      <c r="E7" s="48" t="s">
        <v>56</v>
      </c>
      <c r="F7" s="48" t="s">
        <v>58</v>
      </c>
      <c r="G7" s="48" t="s">
        <v>60</v>
      </c>
      <c r="H7" s="48" t="s">
        <v>61</v>
      </c>
      <c r="I7" s="48" t="s">
        <v>66</v>
      </c>
      <c r="J7" s="48" t="s">
        <v>67</v>
      </c>
      <c r="K7" s="48" t="s">
        <v>72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5" t="s">
        <v>20</v>
      </c>
      <c r="X7" s="48" t="s">
        <v>73</v>
      </c>
      <c r="Y7" s="43" t="s">
        <v>74</v>
      </c>
      <c r="Z7" s="1"/>
      <c r="AA7" s="1"/>
      <c r="AB7" s="1"/>
      <c r="AC7" s="1"/>
      <c r="AD7" s="1"/>
    </row>
    <row r="8" spans="1:25" ht="13.5" thickBot="1">
      <c r="A8" s="35" t="s">
        <v>27</v>
      </c>
      <c r="B8" s="27" t="s">
        <v>1</v>
      </c>
      <c r="C8" s="75">
        <v>33801.28</v>
      </c>
      <c r="D8" s="76">
        <v>42867.01</v>
      </c>
      <c r="E8" s="76">
        <v>43316.04</v>
      </c>
      <c r="F8" s="76">
        <v>43316.04</v>
      </c>
      <c r="G8" s="84">
        <v>43316.04</v>
      </c>
      <c r="H8" s="76">
        <v>43801.59</v>
      </c>
      <c r="I8" s="76">
        <v>58277.95</v>
      </c>
      <c r="J8" s="76">
        <v>43963.44</v>
      </c>
      <c r="K8" s="76">
        <v>43963.44</v>
      </c>
      <c r="L8" s="7">
        <v>3442.92</v>
      </c>
      <c r="M8" s="7">
        <v>3442.92</v>
      </c>
      <c r="N8" s="7">
        <v>3442.92</v>
      </c>
      <c r="O8" s="7">
        <v>3442.92</v>
      </c>
      <c r="P8" s="7">
        <v>3442.92</v>
      </c>
      <c r="Q8" s="7">
        <v>3442.92</v>
      </c>
      <c r="R8" s="7">
        <v>3442.92</v>
      </c>
      <c r="S8" s="7">
        <v>3442.92</v>
      </c>
      <c r="T8" s="7">
        <v>3442.92</v>
      </c>
      <c r="U8" s="7">
        <v>3442.92</v>
      </c>
      <c r="V8" s="7">
        <v>3442.92</v>
      </c>
      <c r="W8" s="7">
        <v>3442.92</v>
      </c>
      <c r="X8" s="49">
        <f>SUM(L8:W8)</f>
        <v>41315.039999999986</v>
      </c>
      <c r="Y8" s="53">
        <f>SUM(C8:W8)</f>
        <v>437937.8699999998</v>
      </c>
    </row>
    <row r="9" spans="1:25" ht="13.5" thickBot="1">
      <c r="A9" s="35"/>
      <c r="B9" s="27" t="s">
        <v>68</v>
      </c>
      <c r="C9" s="75"/>
      <c r="D9" s="84"/>
      <c r="E9" s="84"/>
      <c r="F9" s="84"/>
      <c r="G9" s="84"/>
      <c r="H9" s="84"/>
      <c r="I9" s="84">
        <v>0</v>
      </c>
      <c r="J9" s="84">
        <v>5742.39</v>
      </c>
      <c r="K9" s="84">
        <v>4629.79</v>
      </c>
      <c r="L9" s="7">
        <f aca="true" t="shared" si="0" ref="L9:Q9">27.36+24.2</f>
        <v>51.56</v>
      </c>
      <c r="M9" s="7">
        <f t="shared" si="0"/>
        <v>51.56</v>
      </c>
      <c r="N9" s="7">
        <f t="shared" si="0"/>
        <v>51.56</v>
      </c>
      <c r="O9" s="7">
        <f t="shared" si="0"/>
        <v>51.56</v>
      </c>
      <c r="P9" s="7">
        <f t="shared" si="0"/>
        <v>51.56</v>
      </c>
      <c r="Q9" s="7">
        <f t="shared" si="0"/>
        <v>51.56</v>
      </c>
      <c r="R9" s="8">
        <f aca="true" t="shared" si="1" ref="R9:W9">27.85+26.93</f>
        <v>54.78</v>
      </c>
      <c r="S9" s="8">
        <f t="shared" si="1"/>
        <v>54.78</v>
      </c>
      <c r="T9" s="8">
        <f t="shared" si="1"/>
        <v>54.78</v>
      </c>
      <c r="U9" s="8">
        <f t="shared" si="1"/>
        <v>54.78</v>
      </c>
      <c r="V9" s="8">
        <f t="shared" si="1"/>
        <v>54.78</v>
      </c>
      <c r="W9" s="8">
        <f t="shared" si="1"/>
        <v>54.78</v>
      </c>
      <c r="X9" s="49">
        <f>SUM(L9:W9)</f>
        <v>638.0399999999998</v>
      </c>
      <c r="Y9" s="53">
        <f>SUM(C9:W9)</f>
        <v>11010.220000000001</v>
      </c>
    </row>
    <row r="10" spans="1:25" s="92" customFormat="1" ht="13.5" thickBot="1">
      <c r="A10" s="86" t="s">
        <v>28</v>
      </c>
      <c r="B10" s="87" t="s">
        <v>2</v>
      </c>
      <c r="C10" s="88">
        <f aca="true" t="shared" si="2" ref="C10:L10">SUM(C11:C25)</f>
        <v>27634.5</v>
      </c>
      <c r="D10" s="89">
        <f t="shared" si="2"/>
        <v>50656.53</v>
      </c>
      <c r="E10" s="89">
        <f t="shared" si="2"/>
        <v>53692.649999999994</v>
      </c>
      <c r="F10" s="89">
        <f t="shared" si="2"/>
        <v>46574.54</v>
      </c>
      <c r="G10" s="89">
        <f t="shared" si="2"/>
        <v>42834.79</v>
      </c>
      <c r="H10" s="89">
        <f>SUM(H11:H25)</f>
        <v>41567.64</v>
      </c>
      <c r="I10" s="89">
        <f>SUM(I11:I25)</f>
        <v>58821.02</v>
      </c>
      <c r="J10" s="89">
        <f>SUM(J11:J25)</f>
        <v>51818.130000000005</v>
      </c>
      <c r="K10" s="89">
        <f t="shared" si="2"/>
        <v>53102.65</v>
      </c>
      <c r="L10" s="90">
        <f t="shared" si="2"/>
        <v>3905.49</v>
      </c>
      <c r="M10" s="90">
        <f aca="true" t="shared" si="3" ref="M10:W10">SUM(M11:M25)</f>
        <v>2963.68</v>
      </c>
      <c r="N10" s="90">
        <f t="shared" si="3"/>
        <v>2679.2</v>
      </c>
      <c r="O10" s="90">
        <f t="shared" si="3"/>
        <v>5070.580000000001</v>
      </c>
      <c r="P10" s="90">
        <f t="shared" si="3"/>
        <v>2898.95</v>
      </c>
      <c r="Q10" s="90">
        <f t="shared" si="3"/>
        <v>2753.12</v>
      </c>
      <c r="R10" s="90">
        <f t="shared" si="3"/>
        <v>2844.37</v>
      </c>
      <c r="S10" s="90">
        <f t="shared" si="3"/>
        <v>3737.63</v>
      </c>
      <c r="T10" s="90">
        <f t="shared" si="3"/>
        <v>2658.97</v>
      </c>
      <c r="U10" s="90">
        <f t="shared" si="3"/>
        <v>4147.31</v>
      </c>
      <c r="V10" s="90">
        <f t="shared" si="3"/>
        <v>2843</v>
      </c>
      <c r="W10" s="88">
        <f t="shared" si="3"/>
        <v>5515.2699999999995</v>
      </c>
      <c r="X10" s="89">
        <f>SUM(L10:W10)</f>
        <v>42017.57</v>
      </c>
      <c r="Y10" s="91">
        <f aca="true" t="shared" si="4" ref="Y10:Y25">SUM(C10:W10)</f>
        <v>468720.0200000001</v>
      </c>
    </row>
    <row r="11" spans="1:25" ht="13.5" thickBot="1">
      <c r="A11" s="35" t="s">
        <v>29</v>
      </c>
      <c r="B11" s="29" t="s">
        <v>75</v>
      </c>
      <c r="C11" s="64">
        <v>2042.32</v>
      </c>
      <c r="D11" s="70">
        <v>4711.71</v>
      </c>
      <c r="E11" s="70">
        <v>4836.23</v>
      </c>
      <c r="F11" s="70">
        <v>6509.84</v>
      </c>
      <c r="G11" s="70">
        <v>3715.41</v>
      </c>
      <c r="H11" s="70">
        <v>8356.07</v>
      </c>
      <c r="I11" s="70">
        <v>8231.54</v>
      </c>
      <c r="J11" s="70">
        <v>8269.03</v>
      </c>
      <c r="K11" s="70">
        <v>9669.57</v>
      </c>
      <c r="L11" s="38"/>
      <c r="M11" s="8"/>
      <c r="N11" s="8"/>
      <c r="O11" s="8">
        <v>22.35</v>
      </c>
      <c r="P11" s="8">
        <v>17.07</v>
      </c>
      <c r="Q11" s="8">
        <v>7.06</v>
      </c>
      <c r="R11" s="8">
        <v>18.62</v>
      </c>
      <c r="S11" s="8">
        <v>13.75</v>
      </c>
      <c r="T11" s="8">
        <v>3.45</v>
      </c>
      <c r="U11" s="8">
        <v>12.32</v>
      </c>
      <c r="V11" s="8">
        <v>10.26</v>
      </c>
      <c r="W11" s="16">
        <v>6.95</v>
      </c>
      <c r="X11" s="50">
        <f aca="true" t="shared" si="5" ref="X11:X27">SUM(L11:W11)</f>
        <v>111.83000000000001</v>
      </c>
      <c r="Y11" s="53">
        <f t="shared" si="4"/>
        <v>56453.54999999999</v>
      </c>
    </row>
    <row r="12" spans="1:25" ht="13.5" customHeight="1" thickBot="1">
      <c r="A12" s="35" t="s">
        <v>30</v>
      </c>
      <c r="B12" s="30" t="s">
        <v>65</v>
      </c>
      <c r="C12" s="65">
        <v>7984.97</v>
      </c>
      <c r="D12" s="71">
        <v>1152.32</v>
      </c>
      <c r="E12" s="71">
        <v>6719.87</v>
      </c>
      <c r="F12" s="71">
        <v>2338.59</v>
      </c>
      <c r="G12" s="71">
        <v>714.23</v>
      </c>
      <c r="H12" s="71">
        <v>1057.74</v>
      </c>
      <c r="I12" s="71">
        <v>3625.75</v>
      </c>
      <c r="J12" s="71">
        <v>190.35</v>
      </c>
      <c r="K12" s="71">
        <v>130</v>
      </c>
      <c r="L12" s="39"/>
      <c r="M12" s="9"/>
      <c r="N12" s="9"/>
      <c r="O12" s="9"/>
      <c r="P12" s="9"/>
      <c r="Q12" s="9"/>
      <c r="R12" s="9"/>
      <c r="S12" s="9"/>
      <c r="T12" s="9"/>
      <c r="U12" s="9"/>
      <c r="V12" s="9"/>
      <c r="W12" s="17">
        <v>2560</v>
      </c>
      <c r="X12" s="54">
        <f>SUM(L12:W12)</f>
        <v>2560</v>
      </c>
      <c r="Y12" s="53">
        <f t="shared" si="4"/>
        <v>26473.82</v>
      </c>
    </row>
    <row r="13" spans="1:25" ht="13.5" customHeight="1" thickBot="1">
      <c r="A13" s="35" t="s">
        <v>31</v>
      </c>
      <c r="B13" s="28" t="s">
        <v>4</v>
      </c>
      <c r="C13" s="66"/>
      <c r="D13" s="72">
        <v>884.29</v>
      </c>
      <c r="E13" s="72">
        <v>0</v>
      </c>
      <c r="F13" s="72">
        <v>0</v>
      </c>
      <c r="G13" s="72">
        <v>1996.8</v>
      </c>
      <c r="H13" s="72">
        <v>0</v>
      </c>
      <c r="I13" s="72">
        <v>0</v>
      </c>
      <c r="J13" s="72">
        <v>2175.6</v>
      </c>
      <c r="K13" s="72">
        <v>2483.1</v>
      </c>
      <c r="L13" s="39"/>
      <c r="M13" s="9"/>
      <c r="N13" s="9"/>
      <c r="O13" s="9">
        <v>2217.9</v>
      </c>
      <c r="P13" s="9"/>
      <c r="Q13" s="9"/>
      <c r="R13" s="9"/>
      <c r="S13" s="9"/>
      <c r="T13" s="9"/>
      <c r="U13" s="9"/>
      <c r="V13" s="9"/>
      <c r="W13" s="17"/>
      <c r="X13" s="50">
        <f t="shared" si="5"/>
        <v>2217.9</v>
      </c>
      <c r="Y13" s="53">
        <f t="shared" si="4"/>
        <v>9757.69</v>
      </c>
    </row>
    <row r="14" spans="1:25" ht="21.75" customHeight="1" thickBot="1">
      <c r="A14" s="35" t="s">
        <v>32</v>
      </c>
      <c r="B14" s="28" t="s">
        <v>50</v>
      </c>
      <c r="C14" s="66"/>
      <c r="D14" s="72">
        <v>537.04</v>
      </c>
      <c r="E14" s="72">
        <v>0</v>
      </c>
      <c r="F14" s="72">
        <v>0</v>
      </c>
      <c r="G14" s="72"/>
      <c r="H14" s="72">
        <v>0</v>
      </c>
      <c r="I14" s="72">
        <v>600</v>
      </c>
      <c r="J14" s="72">
        <v>500</v>
      </c>
      <c r="K14" s="72">
        <v>500</v>
      </c>
      <c r="L14" s="39"/>
      <c r="M14" s="9"/>
      <c r="N14" s="9"/>
      <c r="O14" s="9"/>
      <c r="P14" s="9"/>
      <c r="Q14" s="9"/>
      <c r="R14" s="9"/>
      <c r="S14" s="9"/>
      <c r="T14" s="9"/>
      <c r="U14" s="9"/>
      <c r="V14" s="9"/>
      <c r="W14" s="17"/>
      <c r="X14" s="50">
        <f t="shared" si="5"/>
        <v>0</v>
      </c>
      <c r="Y14" s="53">
        <f t="shared" si="4"/>
        <v>2137.04</v>
      </c>
    </row>
    <row r="15" spans="1:25" ht="15" customHeight="1" thickBot="1">
      <c r="A15" s="35" t="s">
        <v>33</v>
      </c>
      <c r="B15" s="30" t="s">
        <v>57</v>
      </c>
      <c r="C15" s="65">
        <v>3659.87</v>
      </c>
      <c r="D15" s="71">
        <v>5291.28</v>
      </c>
      <c r="E15" s="71">
        <v>6098.67</v>
      </c>
      <c r="F15" s="71">
        <v>581.07</v>
      </c>
      <c r="G15" s="71">
        <v>80.81</v>
      </c>
      <c r="H15" s="71">
        <v>152.23</v>
      </c>
      <c r="I15" s="71">
        <v>14906.41</v>
      </c>
      <c r="J15" s="71">
        <v>775.4</v>
      </c>
      <c r="K15" s="71">
        <v>0</v>
      </c>
      <c r="L15" s="39"/>
      <c r="M15" s="9"/>
      <c r="N15" s="9"/>
      <c r="O15" s="9"/>
      <c r="P15" s="9"/>
      <c r="Q15" s="9"/>
      <c r="R15" s="9"/>
      <c r="S15" s="9"/>
      <c r="T15" s="9"/>
      <c r="U15" s="9"/>
      <c r="V15" s="9"/>
      <c r="W15" s="17"/>
      <c r="X15" s="50">
        <f t="shared" si="5"/>
        <v>0</v>
      </c>
      <c r="Y15" s="53">
        <f t="shared" si="4"/>
        <v>31545.739999999998</v>
      </c>
    </row>
    <row r="16" spans="1:25" ht="24.75" customHeight="1" thickBot="1">
      <c r="A16" s="35" t="s">
        <v>34</v>
      </c>
      <c r="B16" s="30" t="s">
        <v>47</v>
      </c>
      <c r="C16" s="65"/>
      <c r="D16" s="71">
        <v>4379.38</v>
      </c>
      <c r="E16" s="71">
        <v>256</v>
      </c>
      <c r="F16" s="71">
        <v>0</v>
      </c>
      <c r="G16" s="71">
        <v>8.72</v>
      </c>
      <c r="H16" s="71">
        <v>0</v>
      </c>
      <c r="I16" s="71">
        <v>186</v>
      </c>
      <c r="J16" s="71">
        <v>136.64</v>
      </c>
      <c r="K16" s="71">
        <v>78</v>
      </c>
      <c r="L16" s="39">
        <v>33.25</v>
      </c>
      <c r="M16" s="9">
        <v>17</v>
      </c>
      <c r="N16" s="9"/>
      <c r="O16" s="9"/>
      <c r="P16" s="9"/>
      <c r="Q16" s="9"/>
      <c r="R16" s="9"/>
      <c r="S16" s="9"/>
      <c r="T16" s="9"/>
      <c r="U16" s="9"/>
      <c r="V16" s="9"/>
      <c r="W16" s="17"/>
      <c r="X16" s="50">
        <f t="shared" si="5"/>
        <v>50.25</v>
      </c>
      <c r="Y16" s="53">
        <f t="shared" si="4"/>
        <v>5094.990000000001</v>
      </c>
    </row>
    <row r="17" spans="1:25" ht="15" customHeight="1" thickBot="1">
      <c r="A17" s="35" t="s">
        <v>35</v>
      </c>
      <c r="B17" s="30" t="s">
        <v>69</v>
      </c>
      <c r="C17" s="65">
        <v>1170.4</v>
      </c>
      <c r="D17" s="71">
        <v>2976.99</v>
      </c>
      <c r="E17" s="71">
        <v>1891.76</v>
      </c>
      <c r="F17" s="71">
        <v>0</v>
      </c>
      <c r="G17" s="71"/>
      <c r="H17" s="71">
        <v>0</v>
      </c>
      <c r="I17" s="71">
        <v>0</v>
      </c>
      <c r="J17" s="71">
        <v>5315.28</v>
      </c>
      <c r="K17" s="71">
        <v>4013.05</v>
      </c>
      <c r="L17" s="39"/>
      <c r="M17" s="9"/>
      <c r="N17" s="9"/>
      <c r="O17" s="9"/>
      <c r="P17" s="9"/>
      <c r="Q17" s="9"/>
      <c r="R17" s="9"/>
      <c r="S17" s="9"/>
      <c r="T17" s="9"/>
      <c r="U17" s="9"/>
      <c r="V17" s="9"/>
      <c r="W17" s="17"/>
      <c r="X17" s="50">
        <f t="shared" si="5"/>
        <v>0</v>
      </c>
      <c r="Y17" s="53">
        <f t="shared" si="4"/>
        <v>15367.48</v>
      </c>
    </row>
    <row r="18" spans="1:25" ht="15" customHeight="1" thickBot="1">
      <c r="A18" s="35"/>
      <c r="B18" s="30" t="s">
        <v>70</v>
      </c>
      <c r="C18" s="65"/>
      <c r="D18" s="71"/>
      <c r="E18" s="71"/>
      <c r="F18" s="71"/>
      <c r="G18" s="71"/>
      <c r="H18" s="71"/>
      <c r="I18" s="71"/>
      <c r="J18" s="71">
        <v>259.51</v>
      </c>
      <c r="K18" s="71">
        <v>327.18</v>
      </c>
      <c r="L18" s="39">
        <v>27.35</v>
      </c>
      <c r="M18" s="39">
        <v>27.35</v>
      </c>
      <c r="N18" s="39">
        <v>27.35</v>
      </c>
      <c r="O18" s="39">
        <v>27.35</v>
      </c>
      <c r="P18" s="39">
        <v>27.35</v>
      </c>
      <c r="Q18" s="39">
        <v>27.35</v>
      </c>
      <c r="R18" s="39">
        <v>27.35</v>
      </c>
      <c r="S18" s="9">
        <v>28.35</v>
      </c>
      <c r="T18" s="9">
        <v>27.85</v>
      </c>
      <c r="U18" s="9">
        <v>27.85</v>
      </c>
      <c r="V18" s="9">
        <v>27.85</v>
      </c>
      <c r="W18" s="9">
        <v>27.85</v>
      </c>
      <c r="X18" s="50">
        <f>SUM(L18:W18)</f>
        <v>331.20000000000005</v>
      </c>
      <c r="Y18" s="53">
        <f>SUM(C18:W18)</f>
        <v>917.8900000000003</v>
      </c>
    </row>
    <row r="19" spans="1:25" ht="15" customHeight="1" thickBot="1">
      <c r="A19" s="35"/>
      <c r="B19" s="30" t="s">
        <v>71</v>
      </c>
      <c r="C19" s="65"/>
      <c r="D19" s="71"/>
      <c r="E19" s="71"/>
      <c r="F19" s="71"/>
      <c r="G19" s="71"/>
      <c r="H19" s="71"/>
      <c r="I19" s="71"/>
      <c r="J19" s="71">
        <v>167.5</v>
      </c>
      <c r="K19" s="71">
        <v>289.32</v>
      </c>
      <c r="L19" s="39">
        <v>24.21</v>
      </c>
      <c r="M19" s="39">
        <v>24.21</v>
      </c>
      <c r="N19" s="39">
        <v>24.21</v>
      </c>
      <c r="O19" s="39">
        <v>24.21</v>
      </c>
      <c r="P19" s="39">
        <v>24.21</v>
      </c>
      <c r="Q19" s="39">
        <v>24.21</v>
      </c>
      <c r="R19" s="39">
        <v>24.21</v>
      </c>
      <c r="S19" s="9">
        <v>26.94</v>
      </c>
      <c r="T19" s="9">
        <v>26.94</v>
      </c>
      <c r="U19" s="9">
        <v>26.94</v>
      </c>
      <c r="V19" s="9">
        <v>26.94</v>
      </c>
      <c r="W19" s="9">
        <v>26.94</v>
      </c>
      <c r="X19" s="50">
        <f>SUM(L19:W19)</f>
        <v>304.17</v>
      </c>
      <c r="Y19" s="53">
        <f>SUM(C19:W19)</f>
        <v>760.9900000000004</v>
      </c>
    </row>
    <row r="20" spans="1:25" ht="13.5" customHeight="1" thickBot="1">
      <c r="A20" s="35" t="s">
        <v>36</v>
      </c>
      <c r="B20" s="30" t="s">
        <v>5</v>
      </c>
      <c r="C20" s="65">
        <v>627.21</v>
      </c>
      <c r="D20" s="71">
        <v>455.07</v>
      </c>
      <c r="E20" s="71">
        <v>312.1</v>
      </c>
      <c r="F20" s="71">
        <v>345.22</v>
      </c>
      <c r="G20" s="71"/>
      <c r="H20" s="71">
        <v>0</v>
      </c>
      <c r="I20" s="71">
        <v>0</v>
      </c>
      <c r="J20" s="71">
        <v>0</v>
      </c>
      <c r="K20" s="71">
        <v>0</v>
      </c>
      <c r="L20" s="3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50">
        <f t="shared" si="5"/>
        <v>0</v>
      </c>
      <c r="Y20" s="53">
        <f t="shared" si="4"/>
        <v>1739.6000000000001</v>
      </c>
    </row>
    <row r="21" spans="1:25" ht="33" customHeight="1" thickBot="1">
      <c r="A21" s="35" t="s">
        <v>37</v>
      </c>
      <c r="B21" s="30" t="s">
        <v>62</v>
      </c>
      <c r="C21" s="65">
        <v>563.58</v>
      </c>
      <c r="D21" s="71">
        <v>2096.88</v>
      </c>
      <c r="E21" s="71">
        <v>2944.03</v>
      </c>
      <c r="F21" s="71">
        <v>3218.89</v>
      </c>
      <c r="G21" s="71">
        <v>1772.16</v>
      </c>
      <c r="H21" s="71">
        <v>2114.15</v>
      </c>
      <c r="I21" s="71">
        <v>2243.28</v>
      </c>
      <c r="J21" s="71">
        <v>2279.08</v>
      </c>
      <c r="K21" s="71">
        <v>2395.03</v>
      </c>
      <c r="L21" s="39">
        <v>192.92</v>
      </c>
      <c r="M21" s="9">
        <v>202.22</v>
      </c>
      <c r="N21" s="9">
        <v>160.57</v>
      </c>
      <c r="O21" s="9">
        <v>192.3</v>
      </c>
      <c r="P21" s="9">
        <v>159.98</v>
      </c>
      <c r="Q21" s="9">
        <v>122.66</v>
      </c>
      <c r="R21" s="9">
        <v>128.2</v>
      </c>
      <c r="S21" s="9">
        <v>108.66</v>
      </c>
      <c r="T21" s="9">
        <v>122.18</v>
      </c>
      <c r="U21" s="9">
        <v>253.01</v>
      </c>
      <c r="V21" s="9">
        <v>180.98</v>
      </c>
      <c r="W21" s="17">
        <v>136.11</v>
      </c>
      <c r="X21" s="50">
        <f t="shared" si="5"/>
        <v>1959.7900000000004</v>
      </c>
      <c r="Y21" s="53">
        <f t="shared" si="4"/>
        <v>21586.869999999995</v>
      </c>
    </row>
    <row r="22" spans="1:25" ht="22.5" customHeight="1" thickBot="1">
      <c r="A22" s="35" t="s">
        <v>38</v>
      </c>
      <c r="B22" s="30" t="s">
        <v>63</v>
      </c>
      <c r="C22" s="65">
        <v>929.67</v>
      </c>
      <c r="D22" s="71">
        <v>829.91</v>
      </c>
      <c r="E22" s="71">
        <v>344.82</v>
      </c>
      <c r="F22" s="71">
        <v>245.13</v>
      </c>
      <c r="G22" s="71">
        <v>533.11</v>
      </c>
      <c r="H22" s="71">
        <v>364.12</v>
      </c>
      <c r="I22" s="71">
        <v>319.12</v>
      </c>
      <c r="J22" s="71">
        <v>249.3</v>
      </c>
      <c r="K22" s="71">
        <v>241.6</v>
      </c>
      <c r="L22" s="39">
        <v>15.26</v>
      </c>
      <c r="M22" s="9">
        <v>13.16</v>
      </c>
      <c r="N22" s="9">
        <v>11.47</v>
      </c>
      <c r="O22" s="9">
        <v>13.34</v>
      </c>
      <c r="P22" s="9">
        <v>1.41</v>
      </c>
      <c r="Q22" s="9">
        <v>20</v>
      </c>
      <c r="R22" s="9">
        <v>22.43</v>
      </c>
      <c r="S22" s="9">
        <v>26.13</v>
      </c>
      <c r="T22" s="9">
        <v>38.83</v>
      </c>
      <c r="U22" s="9">
        <v>9.6</v>
      </c>
      <c r="V22" s="9">
        <v>35.44</v>
      </c>
      <c r="W22" s="17">
        <v>12.47</v>
      </c>
      <c r="X22" s="50">
        <f t="shared" si="5"/>
        <v>219.53999999999996</v>
      </c>
      <c r="Y22" s="53">
        <f t="shared" si="4"/>
        <v>4276.320000000001</v>
      </c>
    </row>
    <row r="23" spans="1:25" ht="34.5" thickBot="1">
      <c r="A23" s="35" t="s">
        <v>39</v>
      </c>
      <c r="B23" s="30" t="s">
        <v>64</v>
      </c>
      <c r="C23" s="65">
        <v>659.04</v>
      </c>
      <c r="D23" s="71">
        <v>3181.5</v>
      </c>
      <c r="E23" s="71">
        <v>1779.61</v>
      </c>
      <c r="F23" s="71">
        <v>2404.53</v>
      </c>
      <c r="G23" s="71">
        <v>2067.2</v>
      </c>
      <c r="H23" s="71">
        <v>2700.86</v>
      </c>
      <c r="I23" s="71">
        <v>2334.31</v>
      </c>
      <c r="J23" s="71">
        <v>2458.77</v>
      </c>
      <c r="K23" s="71">
        <v>2693.55</v>
      </c>
      <c r="L23" s="39">
        <f>9.53+92.31+113.71</f>
        <v>215.55</v>
      </c>
      <c r="M23" s="9">
        <f>8.98+128.62+110.23</f>
        <v>247.82999999999998</v>
      </c>
      <c r="N23" s="9">
        <f>114.96+7.81+85.75</f>
        <v>208.51999999999998</v>
      </c>
      <c r="O23" s="9">
        <f>8.35+94.81+304.63</f>
        <v>407.78999999999996</v>
      </c>
      <c r="P23" s="9">
        <f>8.15+104.69+82.56</f>
        <v>195.4</v>
      </c>
      <c r="Q23" s="9">
        <f>9.48+72.86+146.19</f>
        <v>228.53</v>
      </c>
      <c r="R23" s="9">
        <f>9.11+123.41+66.58</f>
        <v>199.09999999999997</v>
      </c>
      <c r="S23" s="9">
        <f>8.35+75.86+106.13</f>
        <v>190.33999999999997</v>
      </c>
      <c r="T23" s="9">
        <f>6.07+67.46+96.64</f>
        <v>170.17000000000002</v>
      </c>
      <c r="U23" s="9">
        <f>6.16+106.07+274.61</f>
        <v>386.84000000000003</v>
      </c>
      <c r="V23" s="9">
        <f>6.81+67.96+70.73</f>
        <v>145.5</v>
      </c>
      <c r="W23" s="17">
        <f>6.79+205.52+118.71</f>
        <v>331.02</v>
      </c>
      <c r="X23" s="50">
        <f t="shared" si="5"/>
        <v>2926.59</v>
      </c>
      <c r="Y23" s="53">
        <f t="shared" si="4"/>
        <v>23205.96</v>
      </c>
    </row>
    <row r="24" spans="1:25" ht="15.75" customHeight="1" thickBot="1">
      <c r="A24" s="35" t="s">
        <v>40</v>
      </c>
      <c r="B24" s="30" t="s">
        <v>8</v>
      </c>
      <c r="C24" s="65">
        <v>8741.83</v>
      </c>
      <c r="D24" s="71">
        <v>21135.92</v>
      </c>
      <c r="E24" s="71">
        <v>22526.53</v>
      </c>
      <c r="F24" s="71">
        <v>23756.56</v>
      </c>
      <c r="G24" s="71">
        <v>24318.6</v>
      </c>
      <c r="H24" s="71">
        <v>18680.18</v>
      </c>
      <c r="I24" s="71">
        <v>17225.96</v>
      </c>
      <c r="J24" s="71">
        <v>19749.09</v>
      </c>
      <c r="K24" s="71">
        <v>20861.54</v>
      </c>
      <c r="L24" s="39">
        <f>3905.49-1297.33</f>
        <v>2608.16</v>
      </c>
      <c r="M24" s="9">
        <f>2963.68-1323.12</f>
        <v>1640.56</v>
      </c>
      <c r="N24" s="9">
        <f>2679.2-1223.47</f>
        <v>1455.7299999999998</v>
      </c>
      <c r="O24" s="9">
        <f>5070.58-3603.45</f>
        <v>1467.13</v>
      </c>
      <c r="P24" s="9">
        <f>2898.95-1310.12</f>
        <v>1588.83</v>
      </c>
      <c r="Q24" s="9">
        <f>2753.12-1221.16</f>
        <v>1531.9599999999998</v>
      </c>
      <c r="R24" s="9">
        <f>2844.37-1211.36</f>
        <v>1633.01</v>
      </c>
      <c r="S24" s="9">
        <f>3737.63-1205.44</f>
        <v>2532.19</v>
      </c>
      <c r="T24" s="9">
        <f>2658.97-1200.79</f>
        <v>1458.1799999999998</v>
      </c>
      <c r="U24" s="9">
        <f>4147.31-1527.93</f>
        <v>2619.38</v>
      </c>
      <c r="V24" s="9">
        <f>2843-1238.24</f>
        <v>1604.76</v>
      </c>
      <c r="W24" s="17">
        <f>2955.27-1352.72</f>
        <v>1602.55</v>
      </c>
      <c r="X24" s="50">
        <f t="shared" si="5"/>
        <v>21742.44</v>
      </c>
      <c r="Y24" s="53">
        <f t="shared" si="4"/>
        <v>198738.65</v>
      </c>
    </row>
    <row r="25" spans="1:25" ht="13.5" customHeight="1" thickBot="1">
      <c r="A25" s="35" t="s">
        <v>41</v>
      </c>
      <c r="B25" s="31" t="s">
        <v>3</v>
      </c>
      <c r="C25" s="67">
        <v>1255.61</v>
      </c>
      <c r="D25" s="73">
        <v>3024.24</v>
      </c>
      <c r="E25" s="73">
        <v>5983.03</v>
      </c>
      <c r="F25" s="73">
        <v>7174.71</v>
      </c>
      <c r="G25" s="73">
        <v>7627.75</v>
      </c>
      <c r="H25" s="73">
        <v>8142.29</v>
      </c>
      <c r="I25" s="73">
        <v>9148.65</v>
      </c>
      <c r="J25" s="73">
        <v>9292.58</v>
      </c>
      <c r="K25" s="73">
        <v>9420.71</v>
      </c>
      <c r="L25" s="40">
        <f>648.5+1.95+138.34</f>
        <v>788.7900000000001</v>
      </c>
      <c r="M25" s="10">
        <f>659.4+1.95+130</f>
        <v>791.35</v>
      </c>
      <c r="N25" s="10">
        <f>659.4+1.95+130</f>
        <v>791.35</v>
      </c>
      <c r="O25" s="10">
        <f>581.8+1.72+114.69</f>
        <v>698.21</v>
      </c>
      <c r="P25" s="10">
        <f>737.2+2.18+145.32</f>
        <v>884.7</v>
      </c>
      <c r="Q25" s="10">
        <f>659.4+1.95+130</f>
        <v>791.35</v>
      </c>
      <c r="R25" s="10">
        <f>659.5+1.95+130</f>
        <v>791.45</v>
      </c>
      <c r="S25" s="10">
        <f>679.2+2.07+130</f>
        <v>811.2700000000001</v>
      </c>
      <c r="T25" s="10">
        <f>679.3+2.07+130</f>
        <v>811.37</v>
      </c>
      <c r="U25" s="10">
        <f>679.3+2.07+130</f>
        <v>811.37</v>
      </c>
      <c r="V25" s="10">
        <f>679.2+2.07+130</f>
        <v>811.2700000000001</v>
      </c>
      <c r="W25" s="18">
        <f>679.3+2.07+130.01</f>
        <v>811.38</v>
      </c>
      <c r="X25" s="50">
        <f t="shared" si="5"/>
        <v>9593.86</v>
      </c>
      <c r="Y25" s="53">
        <f t="shared" si="4"/>
        <v>70663.43</v>
      </c>
    </row>
    <row r="26" spans="1:25" ht="13.5" customHeight="1" thickBot="1">
      <c r="A26" s="35"/>
      <c r="B26" s="37" t="s">
        <v>59</v>
      </c>
      <c r="C26" s="78"/>
      <c r="D26" s="37"/>
      <c r="E26" s="37"/>
      <c r="F26" s="37"/>
      <c r="G26" s="82">
        <f>G8*5%</f>
        <v>2165.802</v>
      </c>
      <c r="H26" s="82">
        <f>H8*5%</f>
        <v>2190.0795</v>
      </c>
      <c r="I26" s="85">
        <v>2198.17</v>
      </c>
      <c r="J26" s="85">
        <f>J8*5%</f>
        <v>2198.172</v>
      </c>
      <c r="K26" s="85">
        <f>K8*5%</f>
        <v>2198.172</v>
      </c>
      <c r="L26" s="80">
        <f>(L8+L9)*5%</f>
        <v>174.72400000000002</v>
      </c>
      <c r="M26" s="80">
        <f aca="true" t="shared" si="6" ref="M26:W26">(M8+M9)*5%</f>
        <v>174.72400000000002</v>
      </c>
      <c r="N26" s="80">
        <f t="shared" si="6"/>
        <v>174.72400000000002</v>
      </c>
      <c r="O26" s="80">
        <f t="shared" si="6"/>
        <v>174.72400000000002</v>
      </c>
      <c r="P26" s="80">
        <f t="shared" si="6"/>
        <v>174.72400000000002</v>
      </c>
      <c r="Q26" s="80">
        <f t="shared" si="6"/>
        <v>174.72400000000002</v>
      </c>
      <c r="R26" s="80">
        <f t="shared" si="6"/>
        <v>174.88500000000002</v>
      </c>
      <c r="S26" s="80">
        <f t="shared" si="6"/>
        <v>174.88500000000002</v>
      </c>
      <c r="T26" s="80">
        <f t="shared" si="6"/>
        <v>174.88500000000002</v>
      </c>
      <c r="U26" s="80">
        <f t="shared" si="6"/>
        <v>174.88500000000002</v>
      </c>
      <c r="V26" s="80">
        <f t="shared" si="6"/>
        <v>174.88500000000002</v>
      </c>
      <c r="W26" s="80">
        <f t="shared" si="6"/>
        <v>174.88500000000002</v>
      </c>
      <c r="X26" s="54">
        <f t="shared" si="5"/>
        <v>2097.654</v>
      </c>
      <c r="Y26" s="77"/>
    </row>
    <row r="27" spans="1:25" ht="15.75" customHeight="1" thickBot="1">
      <c r="A27" s="35"/>
      <c r="B27" s="56" t="s">
        <v>52</v>
      </c>
      <c r="C27" s="68"/>
      <c r="D27" s="74"/>
      <c r="E27" s="74"/>
      <c r="F27" s="74"/>
      <c r="G27" s="74"/>
      <c r="H27" s="74"/>
      <c r="I27" s="74"/>
      <c r="J27" s="54">
        <f aca="true" t="shared" si="7" ref="J27:W27">SUM(J8+J9-J10)-J26</f>
        <v>-4310.472000000003</v>
      </c>
      <c r="K27" s="54">
        <f>SUM(K8+K9-K10)-K26</f>
        <v>-6707.591999999999</v>
      </c>
      <c r="L27" s="81">
        <f t="shared" si="7"/>
        <v>-585.7339999999998</v>
      </c>
      <c r="M27" s="54">
        <f t="shared" si="7"/>
        <v>356.07600000000014</v>
      </c>
      <c r="N27" s="54">
        <f t="shared" si="7"/>
        <v>640.5560000000002</v>
      </c>
      <c r="O27" s="81">
        <f t="shared" si="7"/>
        <v>-1750.8240000000008</v>
      </c>
      <c r="P27" s="54">
        <f t="shared" si="7"/>
        <v>420.80600000000015</v>
      </c>
      <c r="Q27" s="81">
        <f t="shared" si="7"/>
        <v>566.6360000000001</v>
      </c>
      <c r="R27" s="54">
        <f t="shared" si="7"/>
        <v>478.4450000000004</v>
      </c>
      <c r="S27" s="81">
        <f t="shared" si="7"/>
        <v>-414.8149999999998</v>
      </c>
      <c r="T27" s="54">
        <f t="shared" si="7"/>
        <v>663.8450000000005</v>
      </c>
      <c r="U27" s="81">
        <f t="shared" si="7"/>
        <v>-824.4950000000001</v>
      </c>
      <c r="V27" s="54">
        <f t="shared" si="7"/>
        <v>479.8150000000003</v>
      </c>
      <c r="W27" s="54">
        <f t="shared" si="7"/>
        <v>-2192.4549999999995</v>
      </c>
      <c r="X27" s="54">
        <f t="shared" si="5"/>
        <v>-2162.1439999999984</v>
      </c>
      <c r="Y27" s="44"/>
    </row>
    <row r="28" spans="1:25" ht="21.75" customHeight="1" thickBot="1">
      <c r="A28" s="35" t="s">
        <v>42</v>
      </c>
      <c r="B28" s="93" t="s">
        <v>22</v>
      </c>
      <c r="C28" s="94">
        <f>SUM(C8-C10)</f>
        <v>6166.779999999999</v>
      </c>
      <c r="D28" s="89">
        <f>SUM(D8-D10)</f>
        <v>-7789.519999999997</v>
      </c>
      <c r="E28" s="89">
        <f>SUM(E8-E10)</f>
        <v>-10376.609999999993</v>
      </c>
      <c r="F28" s="89">
        <f>SUM(F8-F10)</f>
        <v>-3258.5</v>
      </c>
      <c r="G28" s="95">
        <f>SUM(G8-G10)-G26</f>
        <v>-1684.5520000000001</v>
      </c>
      <c r="H28" s="95">
        <f>SUM(H8-H10)-H26</f>
        <v>43.870499999997264</v>
      </c>
      <c r="I28" s="95">
        <f>SUM(I8-I10)-I26</f>
        <v>-2741.24</v>
      </c>
      <c r="J28" s="95">
        <f>SUM(J8+J9-J10)-J26</f>
        <v>-4310.472000000003</v>
      </c>
      <c r="K28" s="95">
        <f>SUM(K8+K9-K10)-K26</f>
        <v>-6707.591999999999</v>
      </c>
      <c r="L28" s="96">
        <f>SUM(L8+L9-L10)-L26</f>
        <v>-585.7339999999998</v>
      </c>
      <c r="M28" s="95">
        <f>SUM(M27+L28)</f>
        <v>-229.65799999999967</v>
      </c>
      <c r="N28" s="96">
        <f aca="true" t="shared" si="8" ref="N28:W28">SUM(N27+M28)</f>
        <v>410.8980000000005</v>
      </c>
      <c r="O28" s="95">
        <f t="shared" si="8"/>
        <v>-1339.9260000000004</v>
      </c>
      <c r="P28" s="96">
        <f t="shared" si="8"/>
        <v>-919.1200000000002</v>
      </c>
      <c r="Q28" s="95">
        <f t="shared" si="8"/>
        <v>-352.48400000000015</v>
      </c>
      <c r="R28" s="96">
        <f t="shared" si="8"/>
        <v>125.96100000000024</v>
      </c>
      <c r="S28" s="95">
        <f t="shared" si="8"/>
        <v>-288.8539999999996</v>
      </c>
      <c r="T28" s="96">
        <f t="shared" si="8"/>
        <v>374.9910000000009</v>
      </c>
      <c r="U28" s="95">
        <f t="shared" si="8"/>
        <v>-449.5039999999992</v>
      </c>
      <c r="V28" s="96">
        <f t="shared" si="8"/>
        <v>30.31100000000106</v>
      </c>
      <c r="W28" s="95">
        <f t="shared" si="8"/>
        <v>-2162.1439999999984</v>
      </c>
      <c r="X28" s="97"/>
      <c r="Y28" s="98"/>
    </row>
    <row r="29" spans="1:25" ht="27" customHeight="1" thickBot="1">
      <c r="A29" s="35" t="s">
        <v>43</v>
      </c>
      <c r="B29" s="37" t="s">
        <v>23</v>
      </c>
      <c r="C29" s="69">
        <f>SUM(C8-C10,A29)</f>
        <v>6166.779999999999</v>
      </c>
      <c r="D29" s="51">
        <f>SUM(D8-D10,C29)</f>
        <v>-1622.739999999998</v>
      </c>
      <c r="E29" s="51">
        <f>SUM(E8-E10,D29)</f>
        <v>-11999.349999999991</v>
      </c>
      <c r="F29" s="51">
        <f>SUM(F8-F10,E29)</f>
        <v>-15257.849999999991</v>
      </c>
      <c r="G29" s="79">
        <f aca="true" t="shared" si="9" ref="G29:L29">SUM(G28+F29)</f>
        <v>-16942.40199999999</v>
      </c>
      <c r="H29" s="79">
        <f t="shared" si="9"/>
        <v>-16898.531499999994</v>
      </c>
      <c r="I29" s="79">
        <f t="shared" si="9"/>
        <v>-19639.771499999995</v>
      </c>
      <c r="J29" s="79">
        <f t="shared" si="9"/>
        <v>-23950.243499999997</v>
      </c>
      <c r="K29" s="79">
        <f t="shared" si="9"/>
        <v>-30657.835499999994</v>
      </c>
      <c r="L29" s="79">
        <f t="shared" si="9"/>
        <v>-31243.569499999994</v>
      </c>
      <c r="M29" s="79">
        <f>SUM(M27+L29)</f>
        <v>-30887.493499999993</v>
      </c>
      <c r="N29" s="83">
        <f aca="true" t="shared" si="10" ref="N29:V29">SUM(N27+M29)</f>
        <v>-30246.937499999993</v>
      </c>
      <c r="O29" s="79">
        <f t="shared" si="10"/>
        <v>-31997.761499999993</v>
      </c>
      <c r="P29" s="83">
        <f t="shared" si="10"/>
        <v>-31576.955499999993</v>
      </c>
      <c r="Q29" s="79">
        <f t="shared" si="10"/>
        <v>-31010.319499999994</v>
      </c>
      <c r="R29" s="83">
        <f t="shared" si="10"/>
        <v>-30531.874499999994</v>
      </c>
      <c r="S29" s="79">
        <f t="shared" si="10"/>
        <v>-30946.689499999993</v>
      </c>
      <c r="T29" s="83">
        <f t="shared" si="10"/>
        <v>-30282.844499999992</v>
      </c>
      <c r="U29" s="79">
        <f t="shared" si="10"/>
        <v>-31107.33949999999</v>
      </c>
      <c r="V29" s="83">
        <f t="shared" si="10"/>
        <v>-30627.524499999992</v>
      </c>
      <c r="W29" s="79">
        <f>SUM(W27+V29)</f>
        <v>-32819.979499999994</v>
      </c>
      <c r="X29" s="50"/>
      <c r="Y29" s="63"/>
    </row>
    <row r="30" spans="1:25" ht="23.25" hidden="1" thickBot="1">
      <c r="A30" s="36" t="s">
        <v>44</v>
      </c>
      <c r="B30" s="37" t="s">
        <v>7</v>
      </c>
      <c r="C30" s="59"/>
      <c r="D30" s="61"/>
      <c r="E30" s="61"/>
      <c r="F30" s="61"/>
      <c r="G30" s="61"/>
      <c r="H30" s="61"/>
      <c r="I30" s="61"/>
      <c r="J30" s="61"/>
      <c r="K30" s="61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9"/>
      <c r="X30" s="50"/>
      <c r="Y30" s="45"/>
    </row>
    <row r="31" spans="1:25" ht="15" customHeight="1" hidden="1" thickBot="1">
      <c r="A31" s="42" t="s">
        <v>45</v>
      </c>
      <c r="B31" s="32" t="s">
        <v>24</v>
      </c>
      <c r="C31" s="60"/>
      <c r="D31" s="62"/>
      <c r="E31" s="62"/>
      <c r="F31" s="62"/>
      <c r="G31" s="62"/>
      <c r="H31" s="62"/>
      <c r="I31" s="62"/>
      <c r="J31" s="62"/>
      <c r="K31" s="62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51"/>
      <c r="Y31" s="46"/>
    </row>
    <row r="32" spans="1:25" ht="1.5" customHeight="1" hidden="1" thickBot="1">
      <c r="A32" s="36" t="s">
        <v>48</v>
      </c>
      <c r="B32" s="33" t="s">
        <v>46</v>
      </c>
      <c r="C32" s="57"/>
      <c r="D32" s="57"/>
      <c r="E32" s="57"/>
      <c r="F32" s="57"/>
      <c r="G32" s="57"/>
      <c r="H32" s="57"/>
      <c r="I32" s="57"/>
      <c r="J32" s="57"/>
      <c r="K32" s="57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>
        <f>SUM(W28-W30)</f>
        <v>-2162.1439999999984</v>
      </c>
      <c r="X32" s="52"/>
      <c r="Y32" s="47"/>
    </row>
    <row r="33" spans="1:25" ht="24" customHeight="1" hidden="1" thickBot="1">
      <c r="A33" s="55" t="s">
        <v>51</v>
      </c>
      <c r="B33" s="41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>
        <f>SUM(W29-W30)</f>
        <v>-32819.979499999994</v>
      </c>
      <c r="X33" s="52"/>
      <c r="Y33" s="47"/>
    </row>
    <row r="34" spans="12:25" ht="3" customHeight="1" hidden="1"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ht="0.75" customHeight="1" hidden="1"/>
    <row r="36" ht="12.75" hidden="1"/>
    <row r="37" ht="12.75" hidden="1"/>
    <row r="38" ht="3" customHeight="1" hidden="1"/>
    <row r="39" ht="18.75" customHeight="1">
      <c r="B39" t="s">
        <v>55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2020-02-20T06:27:49Z</cp:lastPrinted>
  <dcterms:created xsi:type="dcterms:W3CDTF">2011-06-16T11:06:26Z</dcterms:created>
  <dcterms:modified xsi:type="dcterms:W3CDTF">2020-02-20T07:05:28Z</dcterms:modified>
  <cp:category/>
  <cp:version/>
  <cp:contentType/>
  <cp:contentStatus/>
</cp:coreProperties>
</file>