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<sst xmlns="http://schemas.openxmlformats.org/spreadsheetml/2006/main" count="75" uniqueCount="72">
  <si>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СПРАВКА</t>
  </si>
  <si>
    <t xml:space="preserve">Начислено  </t>
  </si>
  <si>
    <t>Расходы</t>
  </si>
  <si>
    <t>Услуги РИРЦ</t>
  </si>
  <si>
    <t>Наименование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</si>
  <si>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</si>
  <si>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</si>
  <si>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</si>
  <si>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</si>
  <si>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</si>
  <si>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</si>
  <si>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</si>
  <si>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</si>
  <si>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</si>
  <si>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</si>
  <si>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</si>
  <si>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</si>
  <si>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</si>
  <si>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</si>
  <si>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</si>
  <si>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</si>
  <si>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</si>
  <si>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</si>
  <si>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</si>
  <si>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</si>
  <si>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</si>
  <si>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</si>
  <si>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</si>
  <si>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</si>
  <si>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</si>
  <si>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</si>
  <si>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</si>
  <si>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</si>
  <si>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</si>
  <si>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</si>
  <si>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</si>
  <si>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</si>
  <si>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</si>
  <si>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10</t>
  </si>
  <si>
    <t>Результат за месяц</t>
  </si>
  <si>
    <t>Благоустройство территории</t>
  </si>
  <si>
    <t>4.12</t>
  </si>
  <si>
    <t>Тех.обслуживание газопровода</t>
  </si>
  <si>
    <t>рентабельность 5%</t>
  </si>
  <si>
    <t>Итого  за 2015 г</t>
  </si>
  <si>
    <t>по жилому дому г. Унеча ул. Иванова д.7</t>
  </si>
  <si>
    <t xml:space="preserve">Материалы 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</si>
  <si>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</si>
  <si>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</si>
  <si>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</si>
  <si>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>4.3</t>
  </si>
  <si>
    <t>Исполнитель  вед. экономист /Викторова  Л.С./</t>
  </si>
  <si>
    <t xml:space="preserve">Услуги агентские,охрана труда,отопление, хол.вода, эл.энегрия   </t>
  </si>
  <si>
    <t>Итого  за 2016 г</t>
  </si>
  <si>
    <t>3820,06</t>
  </si>
  <si>
    <t>4897,23</t>
  </si>
  <si>
    <t>Итого  за 2017 г</t>
  </si>
  <si>
    <t>Начислено СОИД</t>
  </si>
  <si>
    <t>Начислено нежилые</t>
  </si>
  <si>
    <t>Электроэнергия СОИД</t>
  </si>
  <si>
    <t>Горячая вода СОИД</t>
  </si>
  <si>
    <t>Холодная вода СОИД</t>
  </si>
  <si>
    <t>Канализация СОИД</t>
  </si>
  <si>
    <t>Проверка вент.каналов</t>
  </si>
  <si>
    <t>4594,62</t>
  </si>
  <si>
    <t>Итого  за 2018 г</t>
  </si>
  <si>
    <t>5033,04</t>
  </si>
  <si>
    <t>Итого  за 2019 г</t>
  </si>
  <si>
    <t>Всего за 2015-2019</t>
  </si>
  <si>
    <t>Вывоз ТБО (Утилизация)</t>
  </si>
  <si>
    <t>Дом по ул.Иванова  д.7 вступил в ООО "Наш дом" с мая 2015 года    тариф 11,5 руб с января 2019 года 10,7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</si>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</sst>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0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wrapText="1"/>
    </xf>
    <xf numFmtId="49" fontId="21" fillId="0" borderId="15" xfId="0" applyNumberFormat="1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2" borderId="18" xfId="0" applyFont="1" applyFill="1" applyBorder="1" applyAlignment="1">
      <alignment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21" fillId="0" borderId="22" xfId="0" applyFont="1" applyBorder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5" xfId="0" applyFont="1" applyBorder="1" applyAlignment="1">
      <alignment/>
    </xf>
    <xf numFmtId="0" fontId="20" fillId="2" borderId="26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1" fillId="0" borderId="23" xfId="0" applyFont="1" applyBorder="1" applyAlignment="1">
      <alignment wrapText="1"/>
    </xf>
    <xf numFmtId="2" fontId="25" fillId="0" borderId="2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6" xfId="0" applyFont="1" applyBorder="1" applyAlignment="1">
      <alignment/>
    </xf>
    <xf numFmtId="0" fontId="19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2" fontId="21" fillId="0" borderId="22" xfId="0" applyNumberFormat="1" applyFont="1" applyBorder="1" applyAlignment="1">
      <alignment/>
    </xf>
    <xf numFmtId="2" fontId="21" fillId="0" borderId="32" xfId="0" applyNumberFormat="1" applyFont="1" applyBorder="1" applyAlignment="1">
      <alignment/>
    </xf>
    <xf numFmtId="0" fontId="21" fillId="0" borderId="33" xfId="0" applyFont="1" applyBorder="1" applyAlignment="1">
      <alignment/>
    </xf>
    <xf numFmtId="49" fontId="0" fillId="0" borderId="3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21" fillId="0" borderId="26" xfId="0" applyFont="1" applyBorder="1" applyAlignment="1">
      <alignment wrapText="1"/>
    </xf>
    <xf numFmtId="2" fontId="21" fillId="0" borderId="26" xfId="0" applyNumberFormat="1" applyFont="1" applyBorder="1" applyAlignment="1">
      <alignment/>
    </xf>
    <xf numFmtId="0" fontId="21" fillId="0" borderId="34" xfId="0" applyFont="1" applyBorder="1" applyAlignment="1">
      <alignment wrapText="1"/>
    </xf>
    <xf numFmtId="49" fontId="21" fillId="0" borderId="15" xfId="0" applyNumberFormat="1" applyFont="1" applyBorder="1" applyAlignment="1">
      <alignment horizontal="right" wrapText="1"/>
    </xf>
    <xf numFmtId="0" fontId="26" fillId="0" borderId="15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49" fontId="22" fillId="0" borderId="20" xfId="0" applyNumberFormat="1" applyFont="1" applyBorder="1" applyAlignment="1">
      <alignment horizontal="center"/>
    </xf>
    <xf numFmtId="0" fontId="27" fillId="0" borderId="22" xfId="0" applyFont="1" applyBorder="1" applyAlignment="1">
      <alignment/>
    </xf>
    <xf numFmtId="49" fontId="27" fillId="0" borderId="22" xfId="0" applyNumberFormat="1" applyFont="1" applyBorder="1" applyAlignment="1">
      <alignment horizontal="right"/>
    </xf>
    <xf numFmtId="0" fontId="27" fillId="0" borderId="28" xfId="0" applyFont="1" applyBorder="1" applyAlignment="1">
      <alignment/>
    </xf>
    <xf numFmtId="0" fontId="22" fillId="0" borderId="0" xfId="0" applyFont="1" applyAlignment="1">
      <alignment/>
    </xf>
    <xf numFmtId="49" fontId="22" fillId="0" borderId="22" xfId="0" applyNumberFormat="1" applyFont="1" applyBorder="1" applyAlignment="1">
      <alignment horizontal="center"/>
    </xf>
    <xf numFmtId="0" fontId="27" fillId="0" borderId="14" xfId="0" applyFont="1" applyBorder="1" applyAlignment="1">
      <alignment wrapText="1"/>
    </xf>
    <xf numFmtId="2" fontId="27" fillId="0" borderId="22" xfId="0" applyNumberFormat="1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7" xfId="0" applyFont="1" applyBorder="1" applyAlignment="1">
      <alignment/>
    </xf>
    <xf numFmtId="0" fontId="21" fillId="0" borderId="35" xfId="0" applyFont="1" applyBorder="1" applyAlignment="1">
      <alignment/>
    </xf>
    <xf numFmtId="49" fontId="25" fillId="0" borderId="19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PageLayoutView="0" workbookViewId="0" topLeftCell="A7">
      <selection activeCell="Y22" sqref="Y22"/>
    </sheetView>
  </sheetViews>
  <sheetFormatPr defaultColWidth="9.00390625" defaultRowHeight="12.75"/>
  <cols>
    <col min="1" max="1" width="3.25390625" style="12" customWidth="1"/>
    <col min="2" max="2" width="20.875" style="0" customWidth="1"/>
    <col min="3" max="3" width="8.375" style="0" hidden="1" customWidth="1"/>
    <col min="4" max="4" width="8.75390625" style="0" hidden="1" customWidth="1"/>
    <col min="5" max="5" width="9.25390625" style="0" hidden="1" customWidth="1"/>
    <col min="6" max="6" width="8.625" style="0" hidden="1" customWidth="1"/>
    <col min="7" max="7" width="9.00390625" style="0" customWidth="1"/>
    <col min="8" max="8" width="8.125" style="0" customWidth="1"/>
    <col min="9" max="9" width="8.375" style="0" customWidth="1"/>
    <col min="10" max="10" width="8.25390625" style="0" customWidth="1"/>
    <col min="11" max="11" width="8.125" style="0" customWidth="1"/>
    <col min="12" max="13" width="8.75390625" style="0" customWidth="1"/>
    <col min="14" max="15" width="8.125" style="0" customWidth="1"/>
    <col min="16" max="17" width="8.25390625" style="0" customWidth="1"/>
    <col min="18" max="18" width="8.625" style="0" customWidth="1"/>
    <col min="19" max="19" width="9.25390625" style="0" customWidth="1"/>
    <col min="20" max="20" width="9.875" style="0" customWidth="1"/>
  </cols>
  <sheetData>
    <row r="1" spans="2:25" ht="12.75" customHeight="1">
      <c r="B1" s="70" t="s">
        <v>71</v>
      </c>
      <c r="C1" s="70"/>
      <c r="D1" s="70"/>
      <c r="E1" s="70"/>
      <c r="F1" s="70"/>
      <c r="G1" s="70"/>
      <c r="H1" s="70"/>
      <c r="I1" s="7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5.75" customHeight="1">
      <c r="B2" s="70" t="s">
        <v>70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71"/>
      <c r="S2" s="71"/>
      <c r="T2" s="4"/>
      <c r="U2" s="4"/>
      <c r="V2" s="4"/>
      <c r="W2" s="4"/>
      <c r="X2" s="4"/>
      <c r="Y2" s="4"/>
    </row>
    <row r="3" spans="2:25" ht="12.75" customHeight="1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3"/>
      <c r="V3" s="3"/>
      <c r="W3" s="3"/>
      <c r="X3" s="3"/>
      <c r="Y3" s="3"/>
    </row>
    <row r="4" spans="2:25" ht="15" customHeight="1">
      <c r="B4" s="68" t="s">
        <v>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2"/>
      <c r="V4" s="2"/>
      <c r="W4" s="2"/>
      <c r="X4" s="2"/>
      <c r="Y4" s="2"/>
    </row>
    <row r="5" spans="2:25" ht="15" customHeight="1" thickBot="1">
      <c r="B5" s="68" t="s">
        <v>45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2"/>
      <c r="V5" s="2"/>
      <c r="W5" s="2"/>
      <c r="X5" s="2"/>
      <c r="Y5" s="2"/>
    </row>
    <row r="6" spans="2:25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2"/>
      <c r="Y6" s="2"/>
    </row>
    <row r="7" spans="1:25" ht="36" customHeight="1" thickBot="1">
      <c r="A7" s="20" t="s">
        <v>21</v>
      </c>
      <c r="B7" s="13" t="s">
        <v>4</v>
      </c>
      <c r="C7" s="29" t="s">
        <v>44</v>
      </c>
      <c r="D7" s="29" t="s">
        <v>53</v>
      </c>
      <c r="E7" s="29" t="s">
        <v>56</v>
      </c>
      <c r="F7" s="29" t="s">
        <v>65</v>
      </c>
      <c r="G7" s="29" t="s">
        <v>7</v>
      </c>
      <c r="H7" s="41" t="s">
        <v>8</v>
      </c>
      <c r="I7" s="29" t="s">
        <v>9</v>
      </c>
      <c r="J7" s="41" t="s">
        <v>10</v>
      </c>
      <c r="K7" s="29" t="s">
        <v>11</v>
      </c>
      <c r="L7" s="29" t="s">
        <v>12</v>
      </c>
      <c r="M7" s="41" t="s">
        <v>13</v>
      </c>
      <c r="N7" s="29" t="s">
        <v>14</v>
      </c>
      <c r="O7" s="41" t="s">
        <v>15</v>
      </c>
      <c r="P7" s="29" t="s">
        <v>16</v>
      </c>
      <c r="Q7" s="41" t="s">
        <v>18</v>
      </c>
      <c r="R7" s="29" t="s">
        <v>17</v>
      </c>
      <c r="S7" s="29" t="s">
        <v>67</v>
      </c>
      <c r="T7" s="24" t="s">
        <v>68</v>
      </c>
      <c r="U7" s="1"/>
      <c r="V7" s="1"/>
      <c r="W7" s="1"/>
      <c r="X7" s="1"/>
      <c r="Y7" s="1"/>
    </row>
    <row r="8" spans="1:20" ht="13.5" thickBot="1">
      <c r="A8" s="21" t="s">
        <v>22</v>
      </c>
      <c r="B8" s="14" t="s">
        <v>1</v>
      </c>
      <c r="C8" s="14">
        <v>55213.38</v>
      </c>
      <c r="D8" s="54">
        <v>84555.16</v>
      </c>
      <c r="E8" s="54">
        <v>51998.4</v>
      </c>
      <c r="F8" s="54">
        <v>51998.4</v>
      </c>
      <c r="G8" s="37">
        <v>4031.76</v>
      </c>
      <c r="H8" s="37">
        <v>4031.76</v>
      </c>
      <c r="I8" s="37">
        <v>4031.76</v>
      </c>
      <c r="J8" s="37">
        <v>4031.76</v>
      </c>
      <c r="K8" s="37">
        <v>4031.76</v>
      </c>
      <c r="L8" s="37">
        <v>4031.76</v>
      </c>
      <c r="M8" s="66">
        <v>4031.76</v>
      </c>
      <c r="N8" s="37">
        <v>4031.76</v>
      </c>
      <c r="O8" s="37">
        <v>4031.76</v>
      </c>
      <c r="P8" s="37">
        <v>4031.76</v>
      </c>
      <c r="Q8" s="37">
        <v>4031.76</v>
      </c>
      <c r="R8" s="37">
        <v>4031.76</v>
      </c>
      <c r="S8" s="30">
        <f>SUM(G8:R8)</f>
        <v>48381.12000000002</v>
      </c>
      <c r="T8" s="34">
        <f>SUM(C8:R8)</f>
        <v>292146.4600000001</v>
      </c>
    </row>
    <row r="9" spans="1:20" ht="13.5" thickBot="1">
      <c r="A9" s="21" t="s">
        <v>22</v>
      </c>
      <c r="B9" s="14" t="s">
        <v>57</v>
      </c>
      <c r="C9" s="14"/>
      <c r="D9" s="54">
        <v>0</v>
      </c>
      <c r="E9" s="54">
        <v>5735.84</v>
      </c>
      <c r="F9" s="54">
        <v>4513.33</v>
      </c>
      <c r="G9" s="30">
        <f aca="true" t="shared" si="0" ref="G9:L9">12.98+18.94+53.34</f>
        <v>85.26</v>
      </c>
      <c r="H9" s="30">
        <f t="shared" si="0"/>
        <v>85.26</v>
      </c>
      <c r="I9" s="30">
        <f t="shared" si="0"/>
        <v>85.26</v>
      </c>
      <c r="J9" s="30">
        <f t="shared" si="0"/>
        <v>85.26</v>
      </c>
      <c r="K9" s="30">
        <f t="shared" si="0"/>
        <v>85.26</v>
      </c>
      <c r="L9" s="30">
        <f t="shared" si="0"/>
        <v>85.26</v>
      </c>
      <c r="M9" s="43">
        <f aca="true" t="shared" si="1" ref="M9:R9">13.24+21.08+54.83</f>
        <v>89.15</v>
      </c>
      <c r="N9" s="30">
        <f t="shared" si="1"/>
        <v>89.15</v>
      </c>
      <c r="O9" s="30">
        <f t="shared" si="1"/>
        <v>89.15</v>
      </c>
      <c r="P9" s="30">
        <f t="shared" si="1"/>
        <v>89.15</v>
      </c>
      <c r="Q9" s="30">
        <f t="shared" si="1"/>
        <v>89.15</v>
      </c>
      <c r="R9" s="30">
        <f t="shared" si="1"/>
        <v>89.15</v>
      </c>
      <c r="S9" s="30">
        <f>SUM(G9:R9)</f>
        <v>1046.46</v>
      </c>
      <c r="T9" s="34">
        <f aca="true" t="shared" si="2" ref="T9:T26">SUM(C9:R9)</f>
        <v>11295.63</v>
      </c>
    </row>
    <row r="10" spans="1:20" ht="13.5" thickBot="1">
      <c r="A10" s="21" t="s">
        <v>22</v>
      </c>
      <c r="B10" s="14" t="s">
        <v>58</v>
      </c>
      <c r="C10" s="14"/>
      <c r="D10" s="54">
        <v>0</v>
      </c>
      <c r="E10" s="54">
        <v>36450.96</v>
      </c>
      <c r="F10" s="54">
        <v>38946.1</v>
      </c>
      <c r="G10" s="30">
        <v>3081.55</v>
      </c>
      <c r="H10" s="30">
        <v>2811.81</v>
      </c>
      <c r="I10" s="30">
        <v>2676.94</v>
      </c>
      <c r="J10" s="30">
        <v>3485.37</v>
      </c>
      <c r="K10" s="30">
        <v>2676.94</v>
      </c>
      <c r="L10" s="30">
        <v>3216.42</v>
      </c>
      <c r="M10" s="43">
        <v>2972.13</v>
      </c>
      <c r="N10" s="40">
        <v>3110.79</v>
      </c>
      <c r="O10" s="40">
        <v>2972.13</v>
      </c>
      <c r="P10" s="40">
        <v>2972.13</v>
      </c>
      <c r="Q10" s="40">
        <v>2972.13</v>
      </c>
      <c r="R10" s="40">
        <v>2972.13</v>
      </c>
      <c r="S10" s="30">
        <f>SUM(G10:R10)</f>
        <v>35920.47</v>
      </c>
      <c r="T10" s="34">
        <f t="shared" si="2"/>
        <v>111317.53000000001</v>
      </c>
    </row>
    <row r="11" spans="1:20" s="60" customFormat="1" ht="13.5" thickBot="1">
      <c r="A11" s="56" t="s">
        <v>23</v>
      </c>
      <c r="B11" s="55" t="s">
        <v>2</v>
      </c>
      <c r="C11" s="57">
        <f>SUM(C12:C26)</f>
        <v>24420.539999999997</v>
      </c>
      <c r="D11" s="58">
        <f>SUM(D12:D26)+4897.23</f>
        <v>46336.56</v>
      </c>
      <c r="E11" s="57">
        <v>53287.98</v>
      </c>
      <c r="F11" s="57">
        <v>66304.79</v>
      </c>
      <c r="G11" s="57">
        <f>SUM(G12:G26)</f>
        <v>3917.32</v>
      </c>
      <c r="H11" s="59">
        <f>SUM(H12:H26)</f>
        <v>5850.65</v>
      </c>
      <c r="I11" s="57">
        <f aca="true" t="shared" si="3" ref="I11:Q11">SUM(I12:I26)</f>
        <v>3326.69</v>
      </c>
      <c r="J11" s="59">
        <f t="shared" si="3"/>
        <v>7832.219999999999</v>
      </c>
      <c r="K11" s="57">
        <f t="shared" si="3"/>
        <v>3410.82</v>
      </c>
      <c r="L11" s="57">
        <f t="shared" si="3"/>
        <v>3367.1499999999996</v>
      </c>
      <c r="M11" s="59">
        <f t="shared" si="3"/>
        <v>3805.9700000000003</v>
      </c>
      <c r="N11" s="57">
        <f t="shared" si="3"/>
        <v>3736.9</v>
      </c>
      <c r="O11" s="59">
        <f t="shared" si="3"/>
        <v>3286.24</v>
      </c>
      <c r="P11" s="57">
        <f t="shared" si="3"/>
        <v>3697.04</v>
      </c>
      <c r="Q11" s="59">
        <f t="shared" si="3"/>
        <v>3488.3499999999995</v>
      </c>
      <c r="R11" s="57">
        <f>SUM(R12:R26)</f>
        <v>3723.260000000001</v>
      </c>
      <c r="S11" s="57">
        <f>SUM(G11:R11)</f>
        <v>49442.61</v>
      </c>
      <c r="T11" s="34">
        <f t="shared" si="2"/>
        <v>239792.48</v>
      </c>
    </row>
    <row r="12" spans="1:20" ht="13.5" thickBot="1">
      <c r="A12" s="21" t="s">
        <v>24</v>
      </c>
      <c r="B12" s="15" t="s">
        <v>69</v>
      </c>
      <c r="C12" s="53" t="s">
        <v>54</v>
      </c>
      <c r="D12" s="53" t="s">
        <v>55</v>
      </c>
      <c r="E12" s="53" t="s">
        <v>64</v>
      </c>
      <c r="F12" s="53" t="s">
        <v>66</v>
      </c>
      <c r="G12" s="30"/>
      <c r="H12" s="43"/>
      <c r="I12" s="30"/>
      <c r="J12" s="43">
        <v>14.9</v>
      </c>
      <c r="K12" s="30">
        <v>11.38</v>
      </c>
      <c r="L12" s="30">
        <v>4.71</v>
      </c>
      <c r="M12" s="43">
        <v>12.41</v>
      </c>
      <c r="N12" s="37">
        <v>9.17</v>
      </c>
      <c r="O12" s="43">
        <v>2.3</v>
      </c>
      <c r="P12" s="30">
        <v>8.21</v>
      </c>
      <c r="Q12" s="43">
        <v>6.84</v>
      </c>
      <c r="R12" s="30">
        <v>4.63</v>
      </c>
      <c r="S12" s="31">
        <f aca="true" t="shared" si="4" ref="S12:S28">SUM(G12:R12)</f>
        <v>74.55</v>
      </c>
      <c r="T12" s="67">
        <f>SUM(C12:R12)+18344.95</f>
        <v>18419.5</v>
      </c>
    </row>
    <row r="13" spans="1:20" ht="14.25" customHeight="1" thickBot="1">
      <c r="A13" s="21" t="s">
        <v>25</v>
      </c>
      <c r="B13" s="16" t="s">
        <v>47</v>
      </c>
      <c r="C13" s="16">
        <v>758.3</v>
      </c>
      <c r="D13" s="16">
        <v>1612.87</v>
      </c>
      <c r="E13" s="16">
        <v>0</v>
      </c>
      <c r="F13" s="16">
        <v>110</v>
      </c>
      <c r="G13" s="38">
        <v>378</v>
      </c>
      <c r="H13" s="42">
        <v>2400</v>
      </c>
      <c r="I13" s="38"/>
      <c r="J13" s="42"/>
      <c r="K13" s="38"/>
      <c r="L13" s="38"/>
      <c r="M13" s="42"/>
      <c r="N13" s="38"/>
      <c r="O13" s="42"/>
      <c r="P13" s="38"/>
      <c r="Q13" s="42"/>
      <c r="R13" s="38"/>
      <c r="S13" s="31">
        <f t="shared" si="4"/>
        <v>2778</v>
      </c>
      <c r="T13" s="34">
        <f t="shared" si="2"/>
        <v>5259.17</v>
      </c>
    </row>
    <row r="14" spans="1:20" ht="21" customHeight="1" thickBot="1">
      <c r="A14" s="21" t="s">
        <v>50</v>
      </c>
      <c r="B14" s="16" t="s">
        <v>42</v>
      </c>
      <c r="C14" s="16">
        <v>0</v>
      </c>
      <c r="D14" s="16">
        <v>0</v>
      </c>
      <c r="E14" s="16">
        <v>4557.7</v>
      </c>
      <c r="F14" s="16">
        <v>5161.06</v>
      </c>
      <c r="G14" s="38"/>
      <c r="H14" s="42"/>
      <c r="I14" s="38"/>
      <c r="J14" s="42">
        <v>4300.5</v>
      </c>
      <c r="K14" s="38"/>
      <c r="L14" s="38"/>
      <c r="M14" s="42"/>
      <c r="N14" s="38"/>
      <c r="O14" s="42"/>
      <c r="P14" s="38"/>
      <c r="Q14" s="42"/>
      <c r="R14" s="38"/>
      <c r="S14" s="31">
        <f>SUM(G14:R14)</f>
        <v>4300.5</v>
      </c>
      <c r="T14" s="34">
        <f t="shared" si="2"/>
        <v>14019.26</v>
      </c>
    </row>
    <row r="15" spans="1:20" ht="13.5" customHeight="1" thickBot="1">
      <c r="A15" s="21"/>
      <c r="B15" s="16" t="s">
        <v>63</v>
      </c>
      <c r="C15" s="16"/>
      <c r="D15" s="16"/>
      <c r="E15" s="16">
        <v>400</v>
      </c>
      <c r="F15" s="16">
        <v>400</v>
      </c>
      <c r="G15" s="38"/>
      <c r="H15" s="42"/>
      <c r="I15" s="38"/>
      <c r="J15" s="42"/>
      <c r="K15" s="38"/>
      <c r="L15" s="38"/>
      <c r="M15" s="42"/>
      <c r="N15" s="38"/>
      <c r="O15" s="42"/>
      <c r="P15" s="38"/>
      <c r="Q15" s="42"/>
      <c r="R15" s="38"/>
      <c r="S15" s="31">
        <f>SUM(G15:R15)</f>
        <v>0</v>
      </c>
      <c r="T15" s="34">
        <f t="shared" si="2"/>
        <v>800</v>
      </c>
    </row>
    <row r="16" spans="1:20" ht="15" customHeight="1" thickBot="1">
      <c r="A16" s="21" t="s">
        <v>26</v>
      </c>
      <c r="B16" s="16" t="s">
        <v>46</v>
      </c>
      <c r="C16" s="16">
        <v>342.52</v>
      </c>
      <c r="D16" s="16">
        <v>5010.16</v>
      </c>
      <c r="E16" s="16">
        <v>1420.8</v>
      </c>
      <c r="F16" s="16">
        <v>9877.99</v>
      </c>
      <c r="G16" s="38"/>
      <c r="H16" s="42"/>
      <c r="I16" s="38">
        <v>60</v>
      </c>
      <c r="J16" s="42"/>
      <c r="K16" s="38"/>
      <c r="L16" s="38"/>
      <c r="M16" s="42"/>
      <c r="N16" s="38">
        <v>385</v>
      </c>
      <c r="O16" s="42"/>
      <c r="P16" s="38"/>
      <c r="Q16" s="42"/>
      <c r="R16" s="38">
        <v>200</v>
      </c>
      <c r="S16" s="31">
        <f t="shared" si="4"/>
        <v>645</v>
      </c>
      <c r="T16" s="34">
        <f t="shared" si="2"/>
        <v>17296.47</v>
      </c>
    </row>
    <row r="17" spans="1:20" ht="14.25" customHeight="1" thickBot="1">
      <c r="A17" s="21" t="s">
        <v>27</v>
      </c>
      <c r="B17" s="16" t="s">
        <v>40</v>
      </c>
      <c r="C17" s="16">
        <v>0</v>
      </c>
      <c r="D17" s="16">
        <v>186</v>
      </c>
      <c r="E17" s="16">
        <v>36.77</v>
      </c>
      <c r="F17" s="16">
        <v>78</v>
      </c>
      <c r="G17" s="38">
        <v>19.56</v>
      </c>
      <c r="H17" s="42">
        <v>10</v>
      </c>
      <c r="I17" s="38"/>
      <c r="J17" s="42"/>
      <c r="K17" s="38"/>
      <c r="L17" s="38"/>
      <c r="M17" s="42"/>
      <c r="N17" s="38"/>
      <c r="O17" s="42"/>
      <c r="P17" s="38"/>
      <c r="Q17" s="42"/>
      <c r="R17" s="38"/>
      <c r="S17" s="31">
        <f t="shared" si="4"/>
        <v>29.56</v>
      </c>
      <c r="T17" s="34">
        <f t="shared" si="2"/>
        <v>330.33</v>
      </c>
    </row>
    <row r="18" spans="1:20" ht="15" customHeight="1" thickBot="1">
      <c r="A18" s="21" t="s">
        <v>28</v>
      </c>
      <c r="B18" s="16" t="s">
        <v>59</v>
      </c>
      <c r="C18" s="16">
        <v>0</v>
      </c>
      <c r="D18" s="16">
        <v>0</v>
      </c>
      <c r="E18" s="16">
        <v>4730.76</v>
      </c>
      <c r="F18" s="16">
        <v>3499.39</v>
      </c>
      <c r="G18" s="38"/>
      <c r="H18" s="42"/>
      <c r="I18" s="38"/>
      <c r="J18" s="38"/>
      <c r="K18" s="38"/>
      <c r="L18" s="38"/>
      <c r="M18" s="42"/>
      <c r="N18" s="38"/>
      <c r="O18" s="42"/>
      <c r="P18" s="38"/>
      <c r="Q18" s="42"/>
      <c r="R18" s="38"/>
      <c r="S18" s="31">
        <f t="shared" si="4"/>
        <v>0</v>
      </c>
      <c r="T18" s="34">
        <f t="shared" si="2"/>
        <v>8230.15</v>
      </c>
    </row>
    <row r="19" spans="1:20" ht="15" customHeight="1" thickBot="1">
      <c r="A19" s="21"/>
      <c r="B19" s="16" t="s">
        <v>61</v>
      </c>
      <c r="C19" s="16"/>
      <c r="D19" s="16"/>
      <c r="E19" s="16">
        <v>231.62</v>
      </c>
      <c r="F19" s="16">
        <v>239.28</v>
      </c>
      <c r="G19" s="38">
        <v>20</v>
      </c>
      <c r="H19" s="38">
        <v>20</v>
      </c>
      <c r="I19" s="38">
        <v>20</v>
      </c>
      <c r="J19" s="38">
        <v>20</v>
      </c>
      <c r="K19" s="38">
        <v>20</v>
      </c>
      <c r="L19" s="38">
        <v>20</v>
      </c>
      <c r="M19" s="38">
        <v>20</v>
      </c>
      <c r="N19" s="38">
        <v>20.74</v>
      </c>
      <c r="O19" s="38">
        <v>20.37</v>
      </c>
      <c r="P19" s="38">
        <v>20.37</v>
      </c>
      <c r="Q19" s="38">
        <v>20.37</v>
      </c>
      <c r="R19" s="38">
        <v>20.37</v>
      </c>
      <c r="S19" s="31">
        <f>SUM(G19:R19)</f>
        <v>242.22000000000003</v>
      </c>
      <c r="T19" s="34">
        <f t="shared" si="2"/>
        <v>713.12</v>
      </c>
    </row>
    <row r="20" spans="1:20" ht="15" customHeight="1" thickBot="1">
      <c r="A20" s="21"/>
      <c r="B20" s="16" t="s">
        <v>60</v>
      </c>
      <c r="C20" s="16"/>
      <c r="D20" s="16"/>
      <c r="E20" s="16">
        <v>1203.33</v>
      </c>
      <c r="F20" s="16">
        <v>1073.22</v>
      </c>
      <c r="G20" s="38">
        <v>90.53</v>
      </c>
      <c r="H20" s="38">
        <v>90.53</v>
      </c>
      <c r="I20" s="38">
        <v>90.53</v>
      </c>
      <c r="J20" s="38">
        <v>90.53</v>
      </c>
      <c r="K20" s="38">
        <v>90.53</v>
      </c>
      <c r="L20" s="38">
        <v>90.53</v>
      </c>
      <c r="M20" s="38">
        <v>116.98</v>
      </c>
      <c r="N20" s="38">
        <v>116.98</v>
      </c>
      <c r="O20" s="38">
        <v>116.98</v>
      </c>
      <c r="P20" s="38">
        <v>93.06</v>
      </c>
      <c r="Q20" s="38">
        <v>93.06</v>
      </c>
      <c r="R20" s="38">
        <v>93.06</v>
      </c>
      <c r="S20" s="31">
        <f>SUM(G20:R20)</f>
        <v>1173.3</v>
      </c>
      <c r="T20" s="34">
        <f t="shared" si="2"/>
        <v>3449.8500000000013</v>
      </c>
    </row>
    <row r="21" spans="1:20" ht="15" customHeight="1" thickBot="1">
      <c r="A21" s="21"/>
      <c r="B21" s="16" t="s">
        <v>62</v>
      </c>
      <c r="C21" s="16"/>
      <c r="D21" s="16"/>
      <c r="E21" s="16">
        <v>201.69</v>
      </c>
      <c r="F21" s="16">
        <v>348.42</v>
      </c>
      <c r="G21" s="38">
        <v>29.16</v>
      </c>
      <c r="H21" s="38">
        <v>29.16</v>
      </c>
      <c r="I21" s="38">
        <v>29.16</v>
      </c>
      <c r="J21" s="38">
        <v>29.16</v>
      </c>
      <c r="K21" s="38">
        <v>29.16</v>
      </c>
      <c r="L21" s="38">
        <v>29.16</v>
      </c>
      <c r="M21" s="38">
        <v>29.16</v>
      </c>
      <c r="N21" s="38">
        <v>34.41</v>
      </c>
      <c r="O21" s="38">
        <v>34.41</v>
      </c>
      <c r="P21" s="38">
        <v>34.41</v>
      </c>
      <c r="Q21" s="38">
        <v>34.41</v>
      </c>
      <c r="R21" s="38">
        <v>34.41</v>
      </c>
      <c r="S21" s="31">
        <f>SUM(G21:R21)</f>
        <v>376.16999999999996</v>
      </c>
      <c r="T21" s="34">
        <f t="shared" si="2"/>
        <v>926.2799999999996</v>
      </c>
    </row>
    <row r="22" spans="1:20" ht="33.75" customHeight="1" thickBot="1">
      <c r="A22" s="21" t="s">
        <v>29</v>
      </c>
      <c r="B22" s="16" t="s">
        <v>48</v>
      </c>
      <c r="C22" s="16">
        <v>1229.72</v>
      </c>
      <c r="D22" s="16">
        <v>1911.86</v>
      </c>
      <c r="E22" s="16">
        <v>1945.55</v>
      </c>
      <c r="F22" s="16">
        <v>2044.51</v>
      </c>
      <c r="G22" s="38">
        <v>164.68</v>
      </c>
      <c r="H22" s="42">
        <v>172.63</v>
      </c>
      <c r="I22" s="38">
        <v>137.07</v>
      </c>
      <c r="J22" s="42">
        <v>164.16</v>
      </c>
      <c r="K22" s="38">
        <v>136.56</v>
      </c>
      <c r="L22" s="38">
        <v>104.71</v>
      </c>
      <c r="M22" s="42">
        <v>109.44</v>
      </c>
      <c r="N22" s="38">
        <v>92.76</v>
      </c>
      <c r="O22" s="42">
        <v>104.3</v>
      </c>
      <c r="P22" s="38">
        <v>215.98</v>
      </c>
      <c r="Q22" s="42">
        <v>136.57</v>
      </c>
      <c r="R22" s="38">
        <v>116.19</v>
      </c>
      <c r="S22" s="31">
        <f t="shared" si="4"/>
        <v>1655.05</v>
      </c>
      <c r="T22" s="34">
        <f t="shared" si="2"/>
        <v>8786.689999999999</v>
      </c>
    </row>
    <row r="23" spans="1:20" ht="22.5" customHeight="1" thickBot="1">
      <c r="A23" s="21" t="s">
        <v>30</v>
      </c>
      <c r="B23" s="16" t="s">
        <v>49</v>
      </c>
      <c r="C23" s="16">
        <v>243</v>
      </c>
      <c r="D23" s="16">
        <v>272.02</v>
      </c>
      <c r="E23" s="16">
        <v>212.81</v>
      </c>
      <c r="F23" s="16">
        <v>206.24</v>
      </c>
      <c r="G23" s="38">
        <v>13.03</v>
      </c>
      <c r="H23" s="42">
        <v>11.23</v>
      </c>
      <c r="I23" s="38">
        <v>9.79</v>
      </c>
      <c r="J23" s="42">
        <v>11.39</v>
      </c>
      <c r="K23" s="38">
        <v>1.2</v>
      </c>
      <c r="L23" s="38">
        <v>17.07</v>
      </c>
      <c r="M23" s="42">
        <v>19.15</v>
      </c>
      <c r="N23" s="38">
        <v>22.3</v>
      </c>
      <c r="O23" s="42">
        <v>33.15</v>
      </c>
      <c r="P23" s="38">
        <v>8.2</v>
      </c>
      <c r="Q23" s="42">
        <v>30.25</v>
      </c>
      <c r="R23" s="38">
        <v>10.65</v>
      </c>
      <c r="S23" s="31">
        <f t="shared" si="4"/>
        <v>187.41</v>
      </c>
      <c r="T23" s="34">
        <f t="shared" si="2"/>
        <v>1121.4800000000002</v>
      </c>
    </row>
    <row r="24" spans="1:20" ht="33" customHeight="1" thickBot="1">
      <c r="A24" s="21" t="s">
        <v>31</v>
      </c>
      <c r="B24" s="16" t="s">
        <v>52</v>
      </c>
      <c r="C24" s="16">
        <v>1472.97</v>
      </c>
      <c r="D24" s="16">
        <v>1988.52</v>
      </c>
      <c r="E24" s="16">
        <v>2010.96</v>
      </c>
      <c r="F24" s="16">
        <v>2299.16</v>
      </c>
      <c r="G24" s="38">
        <f>8.13+78.8+97.06</f>
        <v>183.99</v>
      </c>
      <c r="H24" s="42">
        <f>7.67+109.8+94.09</f>
        <v>211.56</v>
      </c>
      <c r="I24" s="38">
        <f>98.13+6.67+73.2</f>
        <v>178</v>
      </c>
      <c r="J24" s="42">
        <f>7.13+80.93+260.05</f>
        <v>348.11</v>
      </c>
      <c r="K24" s="38">
        <f>6.96+89.37+70.48</f>
        <v>166.81</v>
      </c>
      <c r="L24" s="38">
        <f>8.09+62.2+124.79</f>
        <v>195.08</v>
      </c>
      <c r="M24" s="42">
        <f>7.78+105.34+56.83</f>
        <v>169.95</v>
      </c>
      <c r="N24" s="38">
        <f>7.13+64.76+90.6</f>
        <v>162.49</v>
      </c>
      <c r="O24" s="42">
        <f>5.19+57.59+82.5</f>
        <v>145.28</v>
      </c>
      <c r="P24" s="38">
        <f>5.26+92.26+234.42</f>
        <v>331.94</v>
      </c>
      <c r="Q24" s="42">
        <f>5.81+58.01+60.38</f>
        <v>124.2</v>
      </c>
      <c r="R24" s="38">
        <f>5.8+175.44+101.34</f>
        <v>282.58000000000004</v>
      </c>
      <c r="S24" s="31">
        <f t="shared" si="4"/>
        <v>2499.99</v>
      </c>
      <c r="T24" s="34">
        <f t="shared" si="2"/>
        <v>10271.600000000002</v>
      </c>
    </row>
    <row r="25" spans="1:20" ht="13.5" customHeight="1" thickBot="1">
      <c r="A25" s="21" t="s">
        <v>32</v>
      </c>
      <c r="B25" s="16" t="s">
        <v>5</v>
      </c>
      <c r="C25" s="16">
        <v>15388.41</v>
      </c>
      <c r="D25" s="16">
        <v>21949.78</v>
      </c>
      <c r="E25" s="16">
        <v>22557.39</v>
      </c>
      <c r="F25" s="16">
        <v>25909.19</v>
      </c>
      <c r="G25" s="38">
        <f>3917.32-1690.89</f>
        <v>2226.4300000000003</v>
      </c>
      <c r="H25" s="42">
        <f>5850.65-3767.27</f>
        <v>2083.3799999999997</v>
      </c>
      <c r="I25" s="38">
        <f>3326.69-1230.36</f>
        <v>2096.33</v>
      </c>
      <c r="J25" s="42">
        <f>7832.22-5726.15</f>
        <v>2106.0700000000006</v>
      </c>
      <c r="K25" s="38">
        <f>3410.82-1200.87</f>
        <v>2209.9500000000003</v>
      </c>
      <c r="L25" s="38">
        <f>3367.15-1205.75</f>
        <v>2161.4</v>
      </c>
      <c r="M25" s="42">
        <f>3805.97-1658.3</f>
        <v>2147.67</v>
      </c>
      <c r="N25" s="38">
        <f>3736.9-1575.31</f>
        <v>2161.59</v>
      </c>
      <c r="O25" s="42">
        <f>3286.24-1187.82</f>
        <v>2098.42</v>
      </c>
      <c r="P25" s="38">
        <f>3697.04-1462.71</f>
        <v>2234.33</v>
      </c>
      <c r="Q25" s="42">
        <f>3488.35-1246.86</f>
        <v>2241.49</v>
      </c>
      <c r="R25" s="38">
        <f>3723.26-1501.61</f>
        <v>2221.6500000000005</v>
      </c>
      <c r="S25" s="31">
        <f t="shared" si="4"/>
        <v>25988.71</v>
      </c>
      <c r="T25" s="34">
        <f t="shared" si="2"/>
        <v>111793.48000000001</v>
      </c>
    </row>
    <row r="26" spans="1:20" ht="13.5" customHeight="1" thickBot="1">
      <c r="A26" s="21" t="s">
        <v>41</v>
      </c>
      <c r="B26" s="17" t="s">
        <v>3</v>
      </c>
      <c r="C26" s="52">
        <v>4985.62</v>
      </c>
      <c r="D26" s="52">
        <v>8508.12</v>
      </c>
      <c r="E26" s="52">
        <v>9183.98</v>
      </c>
      <c r="F26" s="52">
        <v>10025.29</v>
      </c>
      <c r="G26" s="47">
        <f>625.1+3.22+163.62</f>
        <v>791.94</v>
      </c>
      <c r="H26" s="44">
        <f>666.7+3.22+152.24</f>
        <v>822.1600000000001</v>
      </c>
      <c r="I26" s="39">
        <f>568.8+2.84+134.17</f>
        <v>705.81</v>
      </c>
      <c r="J26" s="44">
        <f>604.2+2.97+140.23</f>
        <v>747.4000000000001</v>
      </c>
      <c r="K26" s="39">
        <f>602.6+2.95+139.68</f>
        <v>745.23</v>
      </c>
      <c r="L26" s="39">
        <f>599.1+3.01+142.38</f>
        <v>744.49</v>
      </c>
      <c r="M26" s="44">
        <f>972.3+4.33+204.58</f>
        <v>1181.21</v>
      </c>
      <c r="N26" s="39">
        <f>592.2+3.01+136.25</f>
        <v>731.46</v>
      </c>
      <c r="O26" s="44">
        <f>589.9+3.05+138.08</f>
        <v>731.03</v>
      </c>
      <c r="P26" s="39">
        <f>600.1+3.25+147.19</f>
        <v>750.54</v>
      </c>
      <c r="Q26" s="44">
        <f>649.1+3.29+148.77</f>
        <v>801.16</v>
      </c>
      <c r="R26" s="39">
        <f>599.6+3.03+137.09</f>
        <v>739.72</v>
      </c>
      <c r="S26" s="31">
        <f t="shared" si="4"/>
        <v>9492.15</v>
      </c>
      <c r="T26" s="34">
        <f t="shared" si="2"/>
        <v>42195.16000000001</v>
      </c>
    </row>
    <row r="27" spans="1:20" ht="12" customHeight="1" thickBot="1">
      <c r="A27" s="21"/>
      <c r="B27" s="23" t="s">
        <v>43</v>
      </c>
      <c r="C27" s="45">
        <f>C8*5%</f>
        <v>2760.669</v>
      </c>
      <c r="D27" s="45">
        <f>D8*5%</f>
        <v>4227.758000000001</v>
      </c>
      <c r="E27" s="45">
        <f>E8*5%</f>
        <v>2599.92</v>
      </c>
      <c r="F27" s="45">
        <f>F8*5%</f>
        <v>2599.92</v>
      </c>
      <c r="G27" s="45">
        <f>(G8+G9+G10)*5%</f>
        <v>359.92850000000004</v>
      </c>
      <c r="H27" s="45">
        <f aca="true" t="shared" si="5" ref="H27:R27">(H8+H9+H10)*5%</f>
        <v>346.4415</v>
      </c>
      <c r="I27" s="45">
        <f t="shared" si="5"/>
        <v>339.6980000000001</v>
      </c>
      <c r="J27" s="45">
        <f t="shared" si="5"/>
        <v>380.1195</v>
      </c>
      <c r="K27" s="45">
        <f t="shared" si="5"/>
        <v>339.6980000000001</v>
      </c>
      <c r="L27" s="45">
        <f t="shared" si="5"/>
        <v>366.672</v>
      </c>
      <c r="M27" s="45">
        <f t="shared" si="5"/>
        <v>354.65200000000004</v>
      </c>
      <c r="N27" s="45">
        <f t="shared" si="5"/>
        <v>361.58500000000004</v>
      </c>
      <c r="O27" s="45">
        <f t="shared" si="5"/>
        <v>354.65200000000004</v>
      </c>
      <c r="P27" s="45">
        <f t="shared" si="5"/>
        <v>354.65200000000004</v>
      </c>
      <c r="Q27" s="45">
        <f t="shared" si="5"/>
        <v>354.65200000000004</v>
      </c>
      <c r="R27" s="45">
        <f t="shared" si="5"/>
        <v>354.65200000000004</v>
      </c>
      <c r="S27" s="45">
        <f t="shared" si="4"/>
        <v>4267.4025</v>
      </c>
      <c r="T27" s="36"/>
    </row>
    <row r="28" spans="1:20" ht="13.5" customHeight="1" thickBot="1">
      <c r="A28" s="48" t="s">
        <v>33</v>
      </c>
      <c r="B28" s="35" t="s">
        <v>39</v>
      </c>
      <c r="C28" s="35"/>
      <c r="D28" s="35"/>
      <c r="E28" s="46">
        <f aca="true" t="shared" si="6" ref="E28:R28">SUM(E8+E9+E10-E11)-E27</f>
        <v>38297.30000000001</v>
      </c>
      <c r="F28" s="46">
        <f>SUM(F8+F9+F10-F11)-F27</f>
        <v>26553.12000000001</v>
      </c>
      <c r="G28" s="46">
        <f t="shared" si="6"/>
        <v>2921.3215000000005</v>
      </c>
      <c r="H28" s="46">
        <f t="shared" si="6"/>
        <v>731.7385000000003</v>
      </c>
      <c r="I28" s="46">
        <f t="shared" si="6"/>
        <v>3127.572000000001</v>
      </c>
      <c r="J28" s="46">
        <f t="shared" si="6"/>
        <v>-609.949499999999</v>
      </c>
      <c r="K28" s="46">
        <f t="shared" si="6"/>
        <v>3043.442000000001</v>
      </c>
      <c r="L28" s="46">
        <f t="shared" si="6"/>
        <v>3599.618000000001</v>
      </c>
      <c r="M28" s="46">
        <f t="shared" si="6"/>
        <v>2932.4179999999997</v>
      </c>
      <c r="N28" s="46">
        <f t="shared" si="6"/>
        <v>3133.2149999999997</v>
      </c>
      <c r="O28" s="46">
        <f t="shared" si="6"/>
        <v>3452.148</v>
      </c>
      <c r="P28" s="46">
        <f t="shared" si="6"/>
        <v>3041.348</v>
      </c>
      <c r="Q28" s="46">
        <f t="shared" si="6"/>
        <v>3250.0380000000005</v>
      </c>
      <c r="R28" s="46">
        <f t="shared" si="6"/>
        <v>3015.127999999999</v>
      </c>
      <c r="S28" s="46">
        <f t="shared" si="4"/>
        <v>31638.0375</v>
      </c>
      <c r="T28" s="36"/>
    </row>
    <row r="29" spans="1:20" ht="27" customHeight="1" thickBot="1">
      <c r="A29" s="61" t="s">
        <v>34</v>
      </c>
      <c r="B29" s="62" t="s">
        <v>19</v>
      </c>
      <c r="C29" s="62">
        <v>24212.11</v>
      </c>
      <c r="D29" s="63">
        <f>SUM(D8-D11)-D27</f>
        <v>33990.842000000004</v>
      </c>
      <c r="E29" s="63">
        <f>SUM(E8+E9+E10-E11)-E27</f>
        <v>38297.30000000001</v>
      </c>
      <c r="F29" s="63">
        <f>SUM(F8+F9+F10-F11)-F27</f>
        <v>26553.12000000001</v>
      </c>
      <c r="G29" s="63">
        <f>SUM(G8+G9+G10-G11)-G27</f>
        <v>2921.3215000000005</v>
      </c>
      <c r="H29" s="63">
        <f>SUM(H28+G29)</f>
        <v>3653.060000000001</v>
      </c>
      <c r="I29" s="63">
        <f aca="true" t="shared" si="7" ref="I29:R29">SUM(I28+H29)</f>
        <v>6780.632000000001</v>
      </c>
      <c r="J29" s="63">
        <f t="shared" si="7"/>
        <v>6170.682500000003</v>
      </c>
      <c r="K29" s="63">
        <f t="shared" si="7"/>
        <v>9214.124500000004</v>
      </c>
      <c r="L29" s="63">
        <f t="shared" si="7"/>
        <v>12813.742500000004</v>
      </c>
      <c r="M29" s="63">
        <f t="shared" si="7"/>
        <v>15746.160500000004</v>
      </c>
      <c r="N29" s="63">
        <f t="shared" si="7"/>
        <v>18879.375500000002</v>
      </c>
      <c r="O29" s="63">
        <f t="shared" si="7"/>
        <v>22331.523500000003</v>
      </c>
      <c r="P29" s="63">
        <f t="shared" si="7"/>
        <v>25372.8715</v>
      </c>
      <c r="Q29" s="63">
        <f t="shared" si="7"/>
        <v>28622.9095</v>
      </c>
      <c r="R29" s="63">
        <f t="shared" si="7"/>
        <v>31638.0375</v>
      </c>
      <c r="S29" s="64"/>
      <c r="T29" s="65"/>
    </row>
    <row r="30" spans="1:20" ht="23.25" customHeight="1" hidden="1" thickBot="1">
      <c r="A30" s="49" t="s">
        <v>35</v>
      </c>
      <c r="B30" s="50" t="s">
        <v>20</v>
      </c>
      <c r="C30" s="50">
        <v>24212.11</v>
      </c>
      <c r="D30" s="51">
        <f>SUM(D29+C30)</f>
        <v>58202.952000000005</v>
      </c>
      <c r="E30" s="51">
        <f>SUM(E29+D30)</f>
        <v>96500.25200000001</v>
      </c>
      <c r="F30" s="51">
        <f>SUM(F29+E30)</f>
        <v>123053.37200000002</v>
      </c>
      <c r="G30" s="51">
        <f>SUM(G29+F30)</f>
        <v>125974.69350000002</v>
      </c>
      <c r="H30" s="51">
        <f aca="true" t="shared" si="8" ref="H30:R30">SUM(H28+G30)</f>
        <v>126706.43200000003</v>
      </c>
      <c r="I30" s="51">
        <f t="shared" si="8"/>
        <v>129834.00400000003</v>
      </c>
      <c r="J30" s="51">
        <f t="shared" si="8"/>
        <v>129224.05450000003</v>
      </c>
      <c r="K30" s="51">
        <f t="shared" si="8"/>
        <v>132267.49650000004</v>
      </c>
      <c r="L30" s="51">
        <f t="shared" si="8"/>
        <v>135867.11450000003</v>
      </c>
      <c r="M30" s="51">
        <f t="shared" si="8"/>
        <v>138799.53250000003</v>
      </c>
      <c r="N30" s="51">
        <f t="shared" si="8"/>
        <v>141932.74750000003</v>
      </c>
      <c r="O30" s="51">
        <f>SUM(O28+N30)-T10</f>
        <v>34067.3655</v>
      </c>
      <c r="P30" s="51">
        <f t="shared" si="8"/>
        <v>37108.7135</v>
      </c>
      <c r="Q30" s="51">
        <f t="shared" si="8"/>
        <v>40358.7515</v>
      </c>
      <c r="R30" s="51">
        <f t="shared" si="8"/>
        <v>43373.879499999995</v>
      </c>
      <c r="S30" s="40"/>
      <c r="T30" s="25"/>
    </row>
    <row r="31" spans="1:20" ht="0.75" customHeight="1" hidden="1" thickBot="1">
      <c r="A31" s="21" t="s">
        <v>35</v>
      </c>
      <c r="B31" s="23"/>
      <c r="C31" s="50"/>
      <c r="D31" s="50"/>
      <c r="E31" s="50"/>
      <c r="F31" s="50"/>
      <c r="G31" s="40"/>
      <c r="H31" s="40"/>
      <c r="I31" s="5"/>
      <c r="J31" s="6"/>
      <c r="K31" s="6"/>
      <c r="L31" s="6"/>
      <c r="M31" s="6"/>
      <c r="N31" s="6"/>
      <c r="O31" s="6"/>
      <c r="P31" s="6"/>
      <c r="Q31" s="6"/>
      <c r="R31" s="7"/>
      <c r="S31" s="32"/>
      <c r="T31" s="26"/>
    </row>
    <row r="32" spans="1:20" ht="16.5" customHeight="1" hidden="1" thickBot="1">
      <c r="A32" s="21" t="s">
        <v>36</v>
      </c>
      <c r="B32" s="18"/>
      <c r="C32" s="18"/>
      <c r="D32" s="18"/>
      <c r="E32" s="18"/>
      <c r="F32" s="18"/>
      <c r="G32" s="40"/>
      <c r="H32" s="40"/>
      <c r="I32" s="5"/>
      <c r="J32" s="6"/>
      <c r="K32" s="6"/>
      <c r="L32" s="6"/>
      <c r="M32" s="6"/>
      <c r="N32" s="6"/>
      <c r="O32" s="6"/>
      <c r="P32" s="6"/>
      <c r="Q32" s="6"/>
      <c r="R32" s="7"/>
      <c r="S32" s="31"/>
      <c r="T32" s="27"/>
    </row>
    <row r="33" spans="1:20" ht="20.25" customHeight="1" hidden="1" thickBot="1">
      <c r="A33" s="22" t="s">
        <v>37</v>
      </c>
      <c r="B33" s="19"/>
      <c r="C33" s="19"/>
      <c r="D33" s="19"/>
      <c r="E33" s="19"/>
      <c r="F33" s="19"/>
      <c r="G33" s="33"/>
      <c r="H33" s="33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33"/>
      <c r="T33" s="28"/>
    </row>
    <row r="34" spans="1:20" ht="18" customHeight="1" hidden="1" thickBot="1">
      <c r="A34" s="22" t="s">
        <v>38</v>
      </c>
      <c r="B34" s="19"/>
      <c r="C34" s="19"/>
      <c r="D34" s="19"/>
      <c r="E34" s="19"/>
      <c r="F34" s="19"/>
      <c r="G34" s="33"/>
      <c r="H34" s="33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33"/>
      <c r="T34" s="28"/>
    </row>
    <row r="35" spans="2:20" ht="11.25" customHeight="1">
      <c r="B35" t="s">
        <v>51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9"/>
    </row>
    <row r="36" ht="15.75" customHeight="1"/>
    <row r="37" ht="22.5" customHeight="1"/>
    <row r="38" ht="17.25" customHeight="1"/>
    <row r="39" ht="12" customHeight="1"/>
    <row r="44" ht="12.75" customHeight="1"/>
    <row r="45" ht="12.75" customHeight="1"/>
  </sheetData>
  <sheetProtection/>
  <mergeCells count="5">
    <mergeCell ref="B4:T4"/>
    <mergeCell ref="B5:T5"/>
    <mergeCell ref="B3:T3"/>
    <mergeCell ref="B1:I1"/>
    <mergeCell ref="B2:S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2020-02-20T06:21:33Z</cp:lastPrinted>
  <dcterms:created xsi:type="dcterms:W3CDTF">2011-06-16T11:06:26Z</dcterms:created>
  <dcterms:modified xsi:type="dcterms:W3CDTF">2020-03-11T08:19:19Z</dcterms:modified>
  <cp:category/>
  <cp:version/>
  <cp:contentType/>
  <cp:contentStatus/>
</cp:coreProperties>
</file>