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<sst xmlns="http://schemas.openxmlformats.org/spreadsheetml/2006/main" count="74" uniqueCount="73">
  <si>
    <t>СПРАВКА</t>
  </si>
  <si>
    <t xml:space="preserve">Начислено  </t>
  </si>
  <si>
    <t>Расходы</t>
  </si>
  <si>
    <t>Услуги РИРЦ</t>
  </si>
  <si>
    <t>Вывоз ТБО</t>
  </si>
  <si>
    <t>Наименование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</si>
  <si>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</si>
  <si>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</si>
  <si>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</si>
  <si>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</si>
  <si>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</si>
  <si>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</si>
  <si>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</si>
  <si>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</si>
  <si>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</si>
  <si>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</si>
  <si>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</si>
  <si>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</si>
  <si>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</si>
  <si>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</si>
  <si>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</si>
  <si>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</si>
  <si>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</si>
  <si>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</si>
  <si>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</si>
  <si>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</si>
  <si>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</si>
  <si>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</si>
  <si>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</si>
  <si>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4.5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</si>
  <si>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</si>
  <si>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</si>
  <si>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</si>
  <si>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</si>
  <si>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</si>
  <si>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</si>
  <si>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</si>
  <si>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</si>
  <si>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</si>
  <si>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</si>
  <si>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</si>
  <si>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10</t>
  </si>
  <si>
    <t>Финансовый результат по дому с начала года</t>
  </si>
  <si>
    <t>Результат за месяц</t>
  </si>
  <si>
    <t>Благоустройство территории</t>
  </si>
  <si>
    <t>4.12</t>
  </si>
  <si>
    <t>Исполнитель /Викторова Л.С./</t>
  </si>
  <si>
    <t xml:space="preserve">Материалы </t>
  </si>
  <si>
    <t>4.13</t>
  </si>
  <si>
    <t>рентабельность 5%</t>
  </si>
  <si>
    <t>Итого  за 2015 г</t>
  </si>
  <si>
    <t>по жилому дому г. Унеча ул. Кирова д.2</t>
  </si>
  <si>
    <t>Услуги сторонних орган.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</si>
  <si>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</si>
  <si>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</si>
  <si>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 xml:space="preserve">Исполнитель вед.экономист Викторова Л.С. </t>
  </si>
  <si>
    <t>5011,34</t>
  </si>
  <si>
    <t>Итого  за 2016 г</t>
  </si>
  <si>
    <t>6987,05</t>
  </si>
  <si>
    <t>Итого  за 2017 г</t>
  </si>
  <si>
    <t>Начислено СОИД</t>
  </si>
  <si>
    <t>4.3</t>
  </si>
  <si>
    <t>Электроэнергия СОИД</t>
  </si>
  <si>
    <t>Холодная вода СОИД</t>
  </si>
  <si>
    <t>Канализация СОИД</t>
  </si>
  <si>
    <t>Транспортные(ГСМ,зап.части,амортизация,страхование )</t>
  </si>
  <si>
    <t>7330,6</t>
  </si>
  <si>
    <t>Итого  за 2018 г</t>
  </si>
  <si>
    <t>Проверка вент.каналов</t>
  </si>
  <si>
    <t>7328,36</t>
  </si>
  <si>
    <t>Итого  за 2019 г</t>
  </si>
  <si>
    <t>Всего за 2015-2019</t>
  </si>
  <si>
    <t>Дом по ул.Кирова  д 2 вступил в ООО "Наш дом" с мая 2015 года        тариф 11,5 руб с января 2019 года тариф 10,7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</si>
</sst>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83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0" xfId="0" applyFont="1" applyFill="1" applyBorder="1" applyAlignment="1">
      <alignment/>
    </xf>
    <xf numFmtId="0" fontId="20" fillId="2" borderId="13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wrapText="1"/>
    </xf>
    <xf numFmtId="49" fontId="21" fillId="0" borderId="15" xfId="0" applyNumberFormat="1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21" fillId="2" borderId="18" xfId="0" applyFont="1" applyFill="1" applyBorder="1" applyAlignment="1">
      <alignment wrapText="1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21" fillId="0" borderId="22" xfId="0" applyFont="1" applyBorder="1" applyAlignment="1">
      <alignment wrapText="1"/>
    </xf>
    <xf numFmtId="0" fontId="23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25" fillId="0" borderId="14" xfId="0" applyFont="1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2" borderId="14" xfId="0" applyFill="1" applyBorder="1" applyAlignment="1">
      <alignment/>
    </xf>
    <xf numFmtId="0" fontId="19" fillId="0" borderId="22" xfId="0" applyFont="1" applyBorder="1" applyAlignment="1">
      <alignment horizontal="center" vertical="center" wrapText="1"/>
    </xf>
    <xf numFmtId="0" fontId="21" fillId="0" borderId="25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0" fillId="2" borderId="28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1" fillId="0" borderId="24" xfId="0" applyFont="1" applyBorder="1" applyAlignment="1">
      <alignment wrapText="1"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20" fillId="2" borderId="29" xfId="0" applyFont="1" applyFill="1" applyBorder="1" applyAlignment="1">
      <alignment/>
    </xf>
    <xf numFmtId="0" fontId="21" fillId="0" borderId="30" xfId="0" applyFont="1" applyBorder="1" applyAlignment="1">
      <alignment/>
    </xf>
    <xf numFmtId="0" fontId="21" fillId="0" borderId="31" xfId="0" applyFont="1" applyBorder="1" applyAlignment="1">
      <alignment/>
    </xf>
    <xf numFmtId="0" fontId="21" fillId="0" borderId="32" xfId="0" applyFont="1" applyBorder="1" applyAlignment="1">
      <alignment/>
    </xf>
    <xf numFmtId="0" fontId="19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/>
    </xf>
    <xf numFmtId="2" fontId="21" fillId="0" borderId="0" xfId="0" applyNumberFormat="1" applyFont="1" applyBorder="1" applyAlignment="1">
      <alignment/>
    </xf>
    <xf numFmtId="2" fontId="21" fillId="0" borderId="22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27" xfId="0" applyNumberFormat="1" applyFont="1" applyBorder="1" applyAlignment="1">
      <alignment/>
    </xf>
    <xf numFmtId="2" fontId="21" fillId="0" borderId="26" xfId="0" applyNumberFormat="1" applyFont="1" applyBorder="1" applyAlignment="1">
      <alignment/>
    </xf>
    <xf numFmtId="2" fontId="25" fillId="0" borderId="22" xfId="0" applyNumberFormat="1" applyFont="1" applyBorder="1" applyAlignment="1">
      <alignment/>
    </xf>
    <xf numFmtId="0" fontId="21" fillId="2" borderId="13" xfId="0" applyFont="1" applyFill="1" applyBorder="1" applyAlignment="1">
      <alignment wrapText="1"/>
    </xf>
    <xf numFmtId="0" fontId="21" fillId="0" borderId="20" xfId="0" applyFont="1" applyBorder="1" applyAlignment="1">
      <alignment wrapText="1"/>
    </xf>
    <xf numFmtId="0" fontId="21" fillId="0" borderId="21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6" fillId="0" borderId="19" xfId="0" applyFont="1" applyBorder="1" applyAlignment="1">
      <alignment wrapText="1"/>
    </xf>
    <xf numFmtId="49" fontId="21" fillId="0" borderId="25" xfId="0" applyNumberFormat="1" applyFont="1" applyBorder="1" applyAlignment="1">
      <alignment horizontal="right" wrapText="1"/>
    </xf>
    <xf numFmtId="2" fontId="21" fillId="0" borderId="14" xfId="0" applyNumberFormat="1" applyFont="1" applyBorder="1" applyAlignment="1">
      <alignment/>
    </xf>
    <xf numFmtId="0" fontId="26" fillId="0" borderId="25" xfId="0" applyFont="1" applyBorder="1" applyAlignment="1">
      <alignment wrapText="1"/>
    </xf>
    <xf numFmtId="49" fontId="22" fillId="0" borderId="20" xfId="0" applyNumberFormat="1" applyFont="1" applyBorder="1" applyAlignment="1">
      <alignment horizontal="center"/>
    </xf>
    <xf numFmtId="0" fontId="19" fillId="0" borderId="14" xfId="0" applyFont="1" applyBorder="1" applyAlignment="1">
      <alignment wrapText="1"/>
    </xf>
    <xf numFmtId="0" fontId="27" fillId="0" borderId="22" xfId="0" applyFont="1" applyBorder="1" applyAlignment="1">
      <alignment/>
    </xf>
    <xf numFmtId="49" fontId="27" fillId="0" borderId="22" xfId="0" applyNumberFormat="1" applyFont="1" applyBorder="1" applyAlignment="1">
      <alignment horizontal="right"/>
    </xf>
    <xf numFmtId="0" fontId="27" fillId="0" borderId="33" xfId="0" applyFont="1" applyBorder="1" applyAlignment="1">
      <alignment/>
    </xf>
    <xf numFmtId="0" fontId="28" fillId="0" borderId="19" xfId="0" applyFont="1" applyBorder="1" applyAlignment="1">
      <alignment/>
    </xf>
    <xf numFmtId="0" fontId="22" fillId="0" borderId="0" xfId="0" applyFont="1" applyAlignment="1">
      <alignment/>
    </xf>
    <xf numFmtId="0" fontId="27" fillId="0" borderId="23" xfId="0" applyFont="1" applyBorder="1" applyAlignment="1">
      <alignment wrapText="1"/>
    </xf>
    <xf numFmtId="0" fontId="27" fillId="0" borderId="27" xfId="0" applyFont="1" applyBorder="1" applyAlignment="1">
      <alignment wrapText="1"/>
    </xf>
    <xf numFmtId="2" fontId="27" fillId="0" borderId="27" xfId="0" applyNumberFormat="1" applyFont="1" applyBorder="1" applyAlignment="1">
      <alignment/>
    </xf>
    <xf numFmtId="2" fontId="27" fillId="0" borderId="22" xfId="0" applyNumberFormat="1" applyFont="1" applyBorder="1" applyAlignment="1">
      <alignment/>
    </xf>
    <xf numFmtId="2" fontId="27" fillId="0" borderId="35" xfId="0" applyNumberFormat="1" applyFont="1" applyBorder="1" applyAlignment="1">
      <alignment/>
    </xf>
    <xf numFmtId="2" fontId="27" fillId="0" borderId="36" xfId="0" applyNumberFormat="1" applyFont="1" applyBorder="1" applyAlignment="1">
      <alignment/>
    </xf>
    <xf numFmtId="0" fontId="28" fillId="0" borderId="27" xfId="0" applyFont="1" applyBorder="1" applyAlignment="1">
      <alignment/>
    </xf>
    <xf numFmtId="0" fontId="21" fillId="0" borderId="16" xfId="0" applyFont="1" applyBorder="1" applyAlignment="1">
      <alignment/>
    </xf>
    <xf numFmtId="2" fontId="21" fillId="0" borderId="28" xfId="0" applyNumberFormat="1" applyFont="1" applyBorder="1" applyAlignment="1">
      <alignment/>
    </xf>
    <xf numFmtId="0" fontId="21" fillId="0" borderId="37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PageLayoutView="0" workbookViewId="0" topLeftCell="A7">
      <selection activeCell="R23" sqref="R23"/>
    </sheetView>
  </sheetViews>
  <sheetFormatPr defaultColWidth="9.00390625" defaultRowHeight="12.75"/>
  <cols>
    <col min="1" max="1" width="4.00390625" style="12" customWidth="1"/>
    <col min="2" max="2" width="22.375" style="0" customWidth="1"/>
    <col min="3" max="3" width="10.375" style="0" hidden="1" customWidth="1"/>
    <col min="4" max="4" width="9.125" style="0" hidden="1" customWidth="1"/>
    <col min="5" max="5" width="9.75390625" style="0" hidden="1" customWidth="1"/>
    <col min="6" max="6" width="9.125" style="0" hidden="1" customWidth="1"/>
    <col min="7" max="7" width="8.125" style="0" customWidth="1"/>
    <col min="8" max="8" width="9.125" style="0" customWidth="1"/>
    <col min="9" max="9" width="8.625" style="0" customWidth="1"/>
    <col min="10" max="11" width="8.00390625" style="0" customWidth="1"/>
    <col min="12" max="12" width="8.625" style="0" customWidth="1"/>
    <col min="13" max="13" width="8.875" style="0" customWidth="1"/>
    <col min="14" max="14" width="8.375" style="0" customWidth="1"/>
    <col min="15" max="15" width="7.875" style="0" customWidth="1"/>
    <col min="16" max="16" width="8.625" style="0" customWidth="1"/>
    <col min="17" max="17" width="7.875" style="0" customWidth="1"/>
    <col min="18" max="18" width="8.625" style="0" customWidth="1"/>
    <col min="19" max="19" width="8.75390625" style="0" customWidth="1"/>
    <col min="20" max="20" width="9.00390625" style="0" customWidth="1"/>
  </cols>
  <sheetData>
    <row r="1" spans="2:25" ht="12.75" customHeight="1">
      <c r="B1" s="81" t="s">
        <v>6</v>
      </c>
      <c r="C1" s="81"/>
      <c r="D1" s="81"/>
      <c r="E1" s="81"/>
      <c r="F1" s="81"/>
      <c r="G1" s="81"/>
      <c r="H1" s="81"/>
      <c r="I1" s="81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2:25" ht="12.75" customHeight="1">
      <c r="B2" s="81" t="s">
        <v>72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  <c r="R2" s="82"/>
      <c r="S2" s="82"/>
      <c r="T2" s="4"/>
      <c r="U2" s="4"/>
      <c r="V2" s="4"/>
      <c r="W2" s="4"/>
      <c r="X2" s="4"/>
      <c r="Y2" s="4"/>
    </row>
    <row r="3" spans="2:25" ht="12.75" customHeight="1">
      <c r="B3" s="80" t="s">
        <v>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3"/>
      <c r="V3" s="3"/>
      <c r="W3" s="3"/>
      <c r="X3" s="3"/>
      <c r="Y3" s="3"/>
    </row>
    <row r="4" spans="2:25" ht="22.5" customHeight="1">
      <c r="B4" s="79" t="s">
        <v>8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2"/>
      <c r="V4" s="2"/>
      <c r="W4" s="2"/>
      <c r="X4" s="2"/>
      <c r="Y4" s="2"/>
    </row>
    <row r="5" spans="2:25" ht="15.75" customHeight="1" thickBot="1">
      <c r="B5" s="79" t="s">
        <v>51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2"/>
      <c r="V5" s="2"/>
      <c r="W5" s="2"/>
      <c r="X5" s="2"/>
      <c r="Y5" s="2"/>
    </row>
    <row r="6" spans="2:25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  <c r="W6" s="2"/>
      <c r="X6" s="2"/>
      <c r="Y6" s="2"/>
    </row>
    <row r="7" spans="1:25" ht="36" customHeight="1" thickBot="1">
      <c r="A7" s="19" t="s">
        <v>24</v>
      </c>
      <c r="B7" s="13" t="s">
        <v>5</v>
      </c>
      <c r="C7" s="29" t="s">
        <v>50</v>
      </c>
      <c r="D7" s="29" t="s">
        <v>57</v>
      </c>
      <c r="E7" s="29" t="s">
        <v>59</v>
      </c>
      <c r="F7" s="29" t="s">
        <v>67</v>
      </c>
      <c r="G7" s="46" t="s">
        <v>9</v>
      </c>
      <c r="H7" s="29" t="s">
        <v>10</v>
      </c>
      <c r="I7" s="46" t="s">
        <v>11</v>
      </c>
      <c r="J7" s="29" t="s">
        <v>12</v>
      </c>
      <c r="K7" s="46" t="s">
        <v>13</v>
      </c>
      <c r="L7" s="29" t="s">
        <v>14</v>
      </c>
      <c r="M7" s="46" t="s">
        <v>15</v>
      </c>
      <c r="N7" s="29" t="s">
        <v>16</v>
      </c>
      <c r="O7" s="46" t="s">
        <v>17</v>
      </c>
      <c r="P7" s="29" t="s">
        <v>18</v>
      </c>
      <c r="Q7" s="46" t="s">
        <v>20</v>
      </c>
      <c r="R7" s="29" t="s">
        <v>19</v>
      </c>
      <c r="S7" s="29" t="s">
        <v>70</v>
      </c>
      <c r="T7" s="23" t="s">
        <v>71</v>
      </c>
      <c r="U7" s="1"/>
      <c r="V7" s="1"/>
      <c r="W7" s="1"/>
      <c r="X7" s="1"/>
      <c r="Y7" s="1"/>
    </row>
    <row r="8" spans="1:20" ht="13.5" thickBot="1">
      <c r="A8" s="20" t="s">
        <v>25</v>
      </c>
      <c r="B8" s="14" t="s">
        <v>1</v>
      </c>
      <c r="C8" s="58">
        <v>33460.4</v>
      </c>
      <c r="D8" s="58">
        <v>50190.6</v>
      </c>
      <c r="E8" s="58">
        <v>50190.6</v>
      </c>
      <c r="F8" s="58">
        <v>50196.35</v>
      </c>
      <c r="G8" s="47">
        <v>3892.66</v>
      </c>
      <c r="H8" s="37">
        <v>3892.66</v>
      </c>
      <c r="I8" s="37">
        <v>3892.66</v>
      </c>
      <c r="J8" s="37">
        <v>3892.66</v>
      </c>
      <c r="K8" s="37">
        <v>3892.66</v>
      </c>
      <c r="L8" s="37">
        <v>3892.66</v>
      </c>
      <c r="M8" s="78">
        <v>3892.66</v>
      </c>
      <c r="N8" s="37">
        <v>3892.66</v>
      </c>
      <c r="O8" s="37">
        <v>3892.66</v>
      </c>
      <c r="P8" s="37">
        <v>3892.66</v>
      </c>
      <c r="Q8" s="37">
        <v>3892.66</v>
      </c>
      <c r="R8" s="37">
        <v>3892.66</v>
      </c>
      <c r="S8" s="30">
        <f>SUM(G8:R8)</f>
        <v>46711.92000000001</v>
      </c>
      <c r="T8" s="35">
        <f>SUM(C8:R8)</f>
        <v>230749.87000000005</v>
      </c>
    </row>
    <row r="9" spans="1:20" ht="13.5" thickBot="1">
      <c r="A9" s="20"/>
      <c r="B9" s="14" t="s">
        <v>60</v>
      </c>
      <c r="C9" s="61"/>
      <c r="D9" s="61">
        <v>0</v>
      </c>
      <c r="E9" s="61">
        <v>4447.77</v>
      </c>
      <c r="F9" s="61">
        <v>3109.69</v>
      </c>
      <c r="G9" s="43">
        <f aca="true" t="shared" si="0" ref="G9:L9">20.1+17.79</f>
        <v>37.89</v>
      </c>
      <c r="H9" s="30">
        <f t="shared" si="0"/>
        <v>37.89</v>
      </c>
      <c r="I9" s="30">
        <f t="shared" si="0"/>
        <v>37.89</v>
      </c>
      <c r="J9" s="30">
        <f t="shared" si="0"/>
        <v>37.89</v>
      </c>
      <c r="K9" s="30">
        <f t="shared" si="0"/>
        <v>37.89</v>
      </c>
      <c r="L9" s="30">
        <f t="shared" si="0"/>
        <v>37.89</v>
      </c>
      <c r="M9" s="43">
        <f>20.47+19.8</f>
        <v>40.269999999999996</v>
      </c>
      <c r="N9" s="40">
        <f>20.47+19.8</f>
        <v>40.269999999999996</v>
      </c>
      <c r="O9" s="40">
        <f>20.47+19.8</f>
        <v>40.269999999999996</v>
      </c>
      <c r="P9" s="40">
        <f>20.47+19.8</f>
        <v>40.269999999999996</v>
      </c>
      <c r="Q9" s="40">
        <f>20.47+19.8</f>
        <v>40.269999999999996</v>
      </c>
      <c r="R9" s="40">
        <f>20.47+19.8</f>
        <v>40.269999999999996</v>
      </c>
      <c r="S9" s="30">
        <f>SUM(G9:R9)</f>
        <v>468.95999999999987</v>
      </c>
      <c r="T9" s="35">
        <f>SUM(C9:R9)</f>
        <v>8026.4200000000055</v>
      </c>
    </row>
    <row r="10" spans="1:20" s="68" customFormat="1" ht="13.5" customHeight="1" thickBot="1">
      <c r="A10" s="62" t="s">
        <v>26</v>
      </c>
      <c r="B10" s="63" t="s">
        <v>2</v>
      </c>
      <c r="C10" s="64">
        <v>23489.56</v>
      </c>
      <c r="D10" s="65">
        <f>SUM(D11:D23)+6987.05</f>
        <v>44237.29</v>
      </c>
      <c r="E10" s="64">
        <v>51261.27</v>
      </c>
      <c r="F10" s="64">
        <v>43431.53</v>
      </c>
      <c r="G10" s="66">
        <f aca="true" t="shared" si="1" ref="G10:M10">SUM(G11:G23)</f>
        <v>2721.58</v>
      </c>
      <c r="H10" s="64">
        <f t="shared" si="1"/>
        <v>2592.58</v>
      </c>
      <c r="I10" s="66">
        <f t="shared" si="1"/>
        <v>2532.16</v>
      </c>
      <c r="J10" s="64">
        <f t="shared" si="1"/>
        <v>2730.74</v>
      </c>
      <c r="K10" s="66">
        <f t="shared" si="1"/>
        <v>2624.49</v>
      </c>
      <c r="L10" s="64">
        <f t="shared" si="1"/>
        <v>5762.03</v>
      </c>
      <c r="M10" s="66">
        <f t="shared" si="1"/>
        <v>2656.04</v>
      </c>
      <c r="N10" s="64">
        <f>SUM(N11:N23)</f>
        <v>2937.5400000000004</v>
      </c>
      <c r="O10" s="66">
        <f>SUM(O11:O23)</f>
        <v>2489.8700000000003</v>
      </c>
      <c r="P10" s="64">
        <f>SUM(P11:P23)</f>
        <v>2890.4700000000003</v>
      </c>
      <c r="Q10" s="66">
        <f>SUM(Q11:Q23)</f>
        <v>2640.18</v>
      </c>
      <c r="R10" s="64">
        <f>SUM(R11:R23)</f>
        <v>2933.32</v>
      </c>
      <c r="S10" s="64">
        <f>SUM(G10:R10)</f>
        <v>35511</v>
      </c>
      <c r="T10" s="67">
        <f>SUM(G10:R10)+8297.82</f>
        <v>43808.82</v>
      </c>
    </row>
    <row r="11" spans="1:20" ht="13.5" customHeight="1" thickBot="1">
      <c r="A11" s="20" t="s">
        <v>27</v>
      </c>
      <c r="B11" s="15" t="s">
        <v>4</v>
      </c>
      <c r="C11" s="59" t="s">
        <v>56</v>
      </c>
      <c r="D11" s="59" t="s">
        <v>58</v>
      </c>
      <c r="E11" s="59" t="s">
        <v>66</v>
      </c>
      <c r="F11" s="59" t="s">
        <v>69</v>
      </c>
      <c r="G11" s="43"/>
      <c r="H11" s="30"/>
      <c r="I11" s="43"/>
      <c r="J11" s="30">
        <v>13.66</v>
      </c>
      <c r="K11" s="43">
        <v>10.43</v>
      </c>
      <c r="L11" s="30">
        <v>4.32</v>
      </c>
      <c r="M11" s="43">
        <v>11.38</v>
      </c>
      <c r="N11" s="30">
        <v>8.4</v>
      </c>
      <c r="O11" s="43">
        <v>2.11</v>
      </c>
      <c r="P11" s="30">
        <v>7.53</v>
      </c>
      <c r="Q11" s="43">
        <v>6.27</v>
      </c>
      <c r="R11" s="30">
        <v>4.25</v>
      </c>
      <c r="S11" s="31">
        <f aca="true" t="shared" si="2" ref="S11:S25">SUM(G11:R11)</f>
        <v>68.35</v>
      </c>
      <c r="T11" s="35">
        <f aca="true" t="shared" si="3" ref="T11:T24">SUM(C11:R11)</f>
        <v>68.35</v>
      </c>
    </row>
    <row r="12" spans="1:20" ht="15" customHeight="1" thickBot="1">
      <c r="A12" s="20" t="s">
        <v>28</v>
      </c>
      <c r="B12" s="16" t="s">
        <v>52</v>
      </c>
      <c r="C12" s="55">
        <v>0</v>
      </c>
      <c r="D12" s="55">
        <v>3794.49</v>
      </c>
      <c r="E12" s="55">
        <v>0</v>
      </c>
      <c r="F12" s="55">
        <v>0</v>
      </c>
      <c r="G12" s="44"/>
      <c r="H12" s="38"/>
      <c r="I12" s="44"/>
      <c r="J12" s="38"/>
      <c r="K12" s="44"/>
      <c r="L12" s="38"/>
      <c r="M12" s="44"/>
      <c r="N12" s="38"/>
      <c r="O12" s="44"/>
      <c r="P12" s="38"/>
      <c r="Q12" s="44"/>
      <c r="R12" s="38"/>
      <c r="S12" s="31">
        <f t="shared" si="2"/>
        <v>0</v>
      </c>
      <c r="T12" s="35">
        <f t="shared" si="3"/>
        <v>3794.49</v>
      </c>
    </row>
    <row r="13" spans="1:20" ht="15" customHeight="1" thickBot="1">
      <c r="A13" s="20"/>
      <c r="B13" s="16" t="s">
        <v>68</v>
      </c>
      <c r="C13" s="55"/>
      <c r="D13" s="55"/>
      <c r="E13" s="55"/>
      <c r="F13" s="55">
        <v>200</v>
      </c>
      <c r="G13" s="44"/>
      <c r="H13" s="38"/>
      <c r="I13" s="44"/>
      <c r="J13" s="38"/>
      <c r="K13" s="44"/>
      <c r="L13" s="38"/>
      <c r="M13" s="44"/>
      <c r="N13" s="38"/>
      <c r="O13" s="44"/>
      <c r="P13" s="38"/>
      <c r="Q13" s="44"/>
      <c r="R13" s="38"/>
      <c r="S13" s="31">
        <f>SUM(G13:R13)</f>
        <v>0</v>
      </c>
      <c r="T13" s="35">
        <f>SUM(C13:R13)</f>
        <v>200</v>
      </c>
    </row>
    <row r="14" spans="1:20" ht="15.75" customHeight="1" thickBot="1">
      <c r="A14" s="20" t="s">
        <v>61</v>
      </c>
      <c r="B14" s="16" t="s">
        <v>62</v>
      </c>
      <c r="C14" s="55"/>
      <c r="D14" s="55">
        <v>0</v>
      </c>
      <c r="E14" s="55">
        <v>4133.92</v>
      </c>
      <c r="F14" s="55">
        <v>2656.56</v>
      </c>
      <c r="G14" s="44"/>
      <c r="H14" s="38"/>
      <c r="I14" s="76"/>
      <c r="J14" s="38"/>
      <c r="K14" s="38"/>
      <c r="L14" s="38"/>
      <c r="M14" s="44"/>
      <c r="N14" s="38"/>
      <c r="O14" s="44"/>
      <c r="P14" s="38"/>
      <c r="Q14" s="44"/>
      <c r="R14" s="38"/>
      <c r="S14" s="31">
        <f>SUM(G14:R14)</f>
        <v>0</v>
      </c>
      <c r="T14" s="35">
        <f>SUM(C14:R14)</f>
        <v>6790.48</v>
      </c>
    </row>
    <row r="15" spans="1:20" ht="15" customHeight="1" thickBot="1">
      <c r="A15" s="20"/>
      <c r="B15" s="16" t="s">
        <v>63</v>
      </c>
      <c r="C15" s="55"/>
      <c r="D15" s="55"/>
      <c r="E15" s="55">
        <v>190.65</v>
      </c>
      <c r="F15" s="55">
        <v>240.36</v>
      </c>
      <c r="G15" s="44">
        <v>20.09</v>
      </c>
      <c r="H15" s="38">
        <v>20.09</v>
      </c>
      <c r="I15" s="38">
        <v>20.09</v>
      </c>
      <c r="J15" s="38">
        <v>20.09</v>
      </c>
      <c r="K15" s="38">
        <v>20.09</v>
      </c>
      <c r="L15" s="38">
        <v>20.09</v>
      </c>
      <c r="M15" s="38">
        <v>20.09</v>
      </c>
      <c r="N15" s="38">
        <v>20.85</v>
      </c>
      <c r="O15" s="38">
        <v>20.47</v>
      </c>
      <c r="P15" s="38">
        <v>20.47</v>
      </c>
      <c r="Q15" s="38">
        <v>20.47</v>
      </c>
      <c r="R15" s="38">
        <v>20.47</v>
      </c>
      <c r="S15" s="31">
        <f>SUM(G15:R15)</f>
        <v>243.35999999999999</v>
      </c>
      <c r="T15" s="35">
        <f>SUM(C15:R15)</f>
        <v>674.3700000000001</v>
      </c>
    </row>
    <row r="16" spans="1:20" ht="14.25" customHeight="1" thickBot="1">
      <c r="A16" s="20"/>
      <c r="B16" s="16" t="s">
        <v>64</v>
      </c>
      <c r="C16" s="55"/>
      <c r="D16" s="55"/>
      <c r="E16" s="55">
        <v>123.07</v>
      </c>
      <c r="F16" s="55">
        <v>212.58</v>
      </c>
      <c r="G16" s="44">
        <v>17.79</v>
      </c>
      <c r="H16" s="38">
        <v>17.79</v>
      </c>
      <c r="I16" s="38">
        <v>17.79</v>
      </c>
      <c r="J16" s="38">
        <v>17.79</v>
      </c>
      <c r="K16" s="38">
        <v>17.79</v>
      </c>
      <c r="L16" s="38">
        <v>17.79</v>
      </c>
      <c r="M16" s="38">
        <v>17.79</v>
      </c>
      <c r="N16" s="38">
        <v>19.8</v>
      </c>
      <c r="O16" s="38">
        <v>19.8</v>
      </c>
      <c r="P16" s="38">
        <v>19.8</v>
      </c>
      <c r="Q16" s="38">
        <v>19.8</v>
      </c>
      <c r="R16" s="38">
        <v>19.8</v>
      </c>
      <c r="S16" s="31">
        <f>SUM(G16:R16)</f>
        <v>223.53000000000003</v>
      </c>
      <c r="T16" s="35">
        <f>SUM(C16:R16)</f>
        <v>559.1800000000001</v>
      </c>
    </row>
    <row r="17" spans="1:20" ht="16.5" customHeight="1" thickBot="1">
      <c r="A17" s="20" t="s">
        <v>29</v>
      </c>
      <c r="B17" s="16" t="s">
        <v>47</v>
      </c>
      <c r="C17" s="55">
        <v>0</v>
      </c>
      <c r="D17" s="55">
        <v>5901.11</v>
      </c>
      <c r="E17" s="55">
        <v>10472.25</v>
      </c>
      <c r="F17" s="55">
        <v>3244.3</v>
      </c>
      <c r="G17" s="44"/>
      <c r="H17" s="38"/>
      <c r="I17" s="44"/>
      <c r="J17" s="38"/>
      <c r="K17" s="44"/>
      <c r="L17" s="38">
        <f>2014.65+660</f>
        <v>2674.65</v>
      </c>
      <c r="M17" s="44"/>
      <c r="N17" s="38">
        <v>385</v>
      </c>
      <c r="O17" s="44"/>
      <c r="P17" s="38"/>
      <c r="Q17" s="44"/>
      <c r="R17" s="38">
        <v>200</v>
      </c>
      <c r="S17" s="31">
        <f t="shared" si="2"/>
        <v>3259.65</v>
      </c>
      <c r="T17" s="35">
        <f t="shared" si="3"/>
        <v>22877.31</v>
      </c>
    </row>
    <row r="18" spans="1:20" ht="22.5" customHeight="1" thickBot="1">
      <c r="A18" s="20" t="s">
        <v>30</v>
      </c>
      <c r="B18" s="16" t="s">
        <v>44</v>
      </c>
      <c r="C18" s="55">
        <v>0</v>
      </c>
      <c r="D18" s="55">
        <v>51</v>
      </c>
      <c r="E18" s="55">
        <v>0</v>
      </c>
      <c r="F18" s="55">
        <v>0</v>
      </c>
      <c r="G18" s="44">
        <v>25.43</v>
      </c>
      <c r="H18" s="38">
        <v>13</v>
      </c>
      <c r="I18" s="44"/>
      <c r="J18" s="38"/>
      <c r="K18" s="44"/>
      <c r="L18" s="38"/>
      <c r="M18" s="44"/>
      <c r="N18" s="38"/>
      <c r="O18" s="44"/>
      <c r="P18" s="38"/>
      <c r="Q18" s="44"/>
      <c r="R18" s="38"/>
      <c r="S18" s="31">
        <f>SUM(G18:R18)</f>
        <v>38.43</v>
      </c>
      <c r="T18" s="35">
        <f t="shared" si="3"/>
        <v>89.43</v>
      </c>
    </row>
    <row r="19" spans="1:20" ht="26.25" customHeight="1" thickBot="1">
      <c r="A19" s="20" t="s">
        <v>31</v>
      </c>
      <c r="B19" s="16" t="s">
        <v>65</v>
      </c>
      <c r="C19" s="55">
        <v>882.63</v>
      </c>
      <c r="D19" s="55">
        <v>1848.39</v>
      </c>
      <c r="E19" s="55">
        <v>1877.91</v>
      </c>
      <c r="F19" s="55">
        <v>1973.63</v>
      </c>
      <c r="G19" s="44">
        <v>159</v>
      </c>
      <c r="H19" s="38">
        <v>186.67</v>
      </c>
      <c r="I19" s="44">
        <v>132.34</v>
      </c>
      <c r="J19" s="38">
        <v>158.49</v>
      </c>
      <c r="K19" s="44">
        <v>131.85</v>
      </c>
      <c r="L19" s="38">
        <v>101.1</v>
      </c>
      <c r="M19" s="44">
        <v>105.66</v>
      </c>
      <c r="N19" s="38">
        <v>89.56</v>
      </c>
      <c r="O19" s="44">
        <v>100.7</v>
      </c>
      <c r="P19" s="38">
        <v>208.53</v>
      </c>
      <c r="Q19" s="44">
        <v>131.86</v>
      </c>
      <c r="R19" s="38">
        <v>112.18</v>
      </c>
      <c r="S19" s="31">
        <f>SUM(G19:R19)</f>
        <v>1617.9400000000003</v>
      </c>
      <c r="T19" s="35">
        <f t="shared" si="3"/>
        <v>8200.5</v>
      </c>
    </row>
    <row r="20" spans="1:20" ht="26.25" customHeight="1" thickBot="1">
      <c r="A20" s="20" t="s">
        <v>32</v>
      </c>
      <c r="B20" s="16" t="s">
        <v>53</v>
      </c>
      <c r="C20" s="55">
        <v>153.83</v>
      </c>
      <c r="D20" s="55">
        <v>262.97</v>
      </c>
      <c r="E20" s="55">
        <v>205.4</v>
      </c>
      <c r="F20" s="55">
        <v>199.09</v>
      </c>
      <c r="G20" s="44">
        <v>12.58</v>
      </c>
      <c r="H20" s="38">
        <v>10.85</v>
      </c>
      <c r="I20" s="44">
        <v>9.45</v>
      </c>
      <c r="J20" s="38">
        <v>11</v>
      </c>
      <c r="K20" s="44">
        <v>1.16</v>
      </c>
      <c r="L20" s="38">
        <v>16.48</v>
      </c>
      <c r="M20" s="44">
        <v>18.49</v>
      </c>
      <c r="N20" s="38">
        <v>21.53</v>
      </c>
      <c r="O20" s="44">
        <v>32</v>
      </c>
      <c r="P20" s="38">
        <v>7.91</v>
      </c>
      <c r="Q20" s="44">
        <v>29.21</v>
      </c>
      <c r="R20" s="38">
        <v>10.28</v>
      </c>
      <c r="S20" s="31">
        <f>SUM(G20:R20)</f>
        <v>180.94</v>
      </c>
      <c r="T20" s="35">
        <f t="shared" si="3"/>
        <v>1002.2300000000001</v>
      </c>
    </row>
    <row r="21" spans="1:20" ht="36" customHeight="1" thickBot="1">
      <c r="A21" s="20" t="s">
        <v>33</v>
      </c>
      <c r="B21" s="16" t="s">
        <v>54</v>
      </c>
      <c r="C21" s="55">
        <v>1452.41</v>
      </c>
      <c r="D21" s="55">
        <v>1923.4</v>
      </c>
      <c r="E21" s="55">
        <v>2025.97</v>
      </c>
      <c r="F21" s="55">
        <v>2219.55</v>
      </c>
      <c r="G21" s="44">
        <f>7.85+76.08+93.72</f>
        <v>177.64999999999998</v>
      </c>
      <c r="H21" s="38">
        <f>7.4+106.01+90.85</f>
        <v>204.26</v>
      </c>
      <c r="I21" s="44">
        <f>94.75+6.44+70.68</f>
        <v>171.87</v>
      </c>
      <c r="J21" s="38">
        <f>6.88+78.14+251.08</f>
        <v>336.1</v>
      </c>
      <c r="K21" s="44">
        <f>6.72+86.28+68.05</f>
        <v>161.05</v>
      </c>
      <c r="L21" s="38">
        <f>7.81+60.05+120.49</f>
        <v>188.35</v>
      </c>
      <c r="M21" s="44">
        <f>7.51+101.71+54.87</f>
        <v>164.09</v>
      </c>
      <c r="N21" s="38">
        <f>6.88+62.52+87.48</f>
        <v>156.88</v>
      </c>
      <c r="O21" s="44">
        <f>5.01+55.6+79.65</f>
        <v>140.26</v>
      </c>
      <c r="P21" s="38">
        <f>5.07+89.07+226.33</f>
        <v>320.47</v>
      </c>
      <c r="Q21" s="44">
        <f>5.61+56.01+58.29</f>
        <v>119.91</v>
      </c>
      <c r="R21" s="38">
        <f>5.6+169.39+97.84</f>
        <v>272.83</v>
      </c>
      <c r="S21" s="31">
        <f t="shared" si="2"/>
        <v>2413.72</v>
      </c>
      <c r="T21" s="35">
        <f t="shared" si="3"/>
        <v>10035.05</v>
      </c>
    </row>
    <row r="22" spans="1:20" ht="13.5" customHeight="1" thickBot="1">
      <c r="A22" s="20" t="s">
        <v>34</v>
      </c>
      <c r="B22" s="16" t="s">
        <v>7</v>
      </c>
      <c r="C22" s="55">
        <v>14516.44</v>
      </c>
      <c r="D22" s="55">
        <v>21573.7</v>
      </c>
      <c r="E22" s="55">
        <v>22854.03</v>
      </c>
      <c r="F22" s="55">
        <v>23123.97</v>
      </c>
      <c r="G22" s="44">
        <f>2721.58-571.95</f>
        <v>2149.63</v>
      </c>
      <c r="H22" s="38">
        <f>2592.58-601.08</f>
        <v>1991.5</v>
      </c>
      <c r="I22" s="44">
        <f>2532.16-508.16</f>
        <v>2023.9999999999998</v>
      </c>
      <c r="J22" s="38">
        <f>2730.74-697.34</f>
        <v>2033.3999999999996</v>
      </c>
      <c r="K22" s="44">
        <f>2624.49-490.79</f>
        <v>2133.7</v>
      </c>
      <c r="L22" s="38">
        <f>5762.03-3171.2</f>
        <v>2590.83</v>
      </c>
      <c r="M22" s="44">
        <f>2656.04-485.92</f>
        <v>2170.12</v>
      </c>
      <c r="N22" s="38">
        <f>2937.54-850.53</f>
        <v>2087.01</v>
      </c>
      <c r="O22" s="44">
        <f>2489.87-463.85</f>
        <v>2026.02</v>
      </c>
      <c r="P22" s="38">
        <f>2890.47-733.22</f>
        <v>2157.25</v>
      </c>
      <c r="Q22" s="44">
        <f>2640.18-476.03</f>
        <v>2164.1499999999996</v>
      </c>
      <c r="R22" s="38">
        <f>2933.32-788.31</f>
        <v>2145.01</v>
      </c>
      <c r="S22" s="31">
        <f t="shared" si="2"/>
        <v>25672.620000000003</v>
      </c>
      <c r="T22" s="35">
        <f t="shared" si="3"/>
        <v>107740.75999999998</v>
      </c>
    </row>
    <row r="23" spans="1:20" ht="15" customHeight="1" thickBot="1">
      <c r="A23" s="20" t="s">
        <v>35</v>
      </c>
      <c r="B23" s="17" t="s">
        <v>3</v>
      </c>
      <c r="C23" s="56">
        <v>1105.52</v>
      </c>
      <c r="D23" s="56">
        <v>1895.18</v>
      </c>
      <c r="E23" s="56">
        <v>2047.47</v>
      </c>
      <c r="F23" s="56">
        <v>2033.13</v>
      </c>
      <c r="G23" s="45">
        <f>1.43+157.98</f>
        <v>159.41</v>
      </c>
      <c r="H23" s="39">
        <f>1.43+146.99</f>
        <v>148.42000000000002</v>
      </c>
      <c r="I23" s="45">
        <f>1.43+155.19</f>
        <v>156.62</v>
      </c>
      <c r="J23" s="39">
        <f>1.43+138.78</f>
        <v>140.21</v>
      </c>
      <c r="K23" s="45">
        <f>1.43+146.99</f>
        <v>148.42000000000002</v>
      </c>
      <c r="L23" s="39">
        <f>1.43+146.99</f>
        <v>148.42000000000002</v>
      </c>
      <c r="M23" s="45">
        <f>1.43+146.99</f>
        <v>148.42000000000002</v>
      </c>
      <c r="N23" s="39">
        <f>1.52+146.99</f>
        <v>148.51000000000002</v>
      </c>
      <c r="O23" s="45">
        <f>1.52+146.99</f>
        <v>148.51000000000002</v>
      </c>
      <c r="P23" s="39">
        <f>1.52+146.99</f>
        <v>148.51000000000002</v>
      </c>
      <c r="Q23" s="45">
        <f>1.52+146.99</f>
        <v>148.51000000000002</v>
      </c>
      <c r="R23" s="39">
        <f>1.52+146.98</f>
        <v>148.5</v>
      </c>
      <c r="S23" s="31">
        <f t="shared" si="2"/>
        <v>1792.4600000000003</v>
      </c>
      <c r="T23" s="35">
        <f t="shared" si="3"/>
        <v>8873.76</v>
      </c>
    </row>
    <row r="24" spans="1:20" ht="15.75" customHeight="1" thickBot="1">
      <c r="A24" s="20" t="s">
        <v>45</v>
      </c>
      <c r="B24" s="22" t="s">
        <v>49</v>
      </c>
      <c r="C24" s="49">
        <f>C8*5%</f>
        <v>1673.0200000000002</v>
      </c>
      <c r="D24" s="52">
        <f>D8*5%</f>
        <v>2509.53</v>
      </c>
      <c r="E24" s="52">
        <f>E8*5%</f>
        <v>2509.53</v>
      </c>
      <c r="F24" s="52">
        <f>F8*5%</f>
        <v>2509.8175</v>
      </c>
      <c r="G24" s="48">
        <f>(G8+G9)*5%</f>
        <v>196.5275</v>
      </c>
      <c r="H24" s="77">
        <f aca="true" t="shared" si="4" ref="H24:R24">(H8+H9)*5%</f>
        <v>196.5275</v>
      </c>
      <c r="I24" s="48">
        <f t="shared" si="4"/>
        <v>196.5275</v>
      </c>
      <c r="J24" s="49">
        <f t="shared" si="4"/>
        <v>196.5275</v>
      </c>
      <c r="K24" s="48">
        <f t="shared" si="4"/>
        <v>196.5275</v>
      </c>
      <c r="L24" s="49">
        <f t="shared" si="4"/>
        <v>196.5275</v>
      </c>
      <c r="M24" s="48">
        <f t="shared" si="4"/>
        <v>196.6465</v>
      </c>
      <c r="N24" s="49">
        <f t="shared" si="4"/>
        <v>196.6465</v>
      </c>
      <c r="O24" s="48">
        <f t="shared" si="4"/>
        <v>196.6465</v>
      </c>
      <c r="P24" s="49">
        <f t="shared" si="4"/>
        <v>196.6465</v>
      </c>
      <c r="Q24" s="48">
        <f t="shared" si="4"/>
        <v>196.6465</v>
      </c>
      <c r="R24" s="49">
        <f t="shared" si="4"/>
        <v>196.6465</v>
      </c>
      <c r="S24" s="49">
        <f t="shared" si="2"/>
        <v>2359.044</v>
      </c>
      <c r="T24" s="35">
        <f t="shared" si="3"/>
        <v>11560.941500000004</v>
      </c>
    </row>
    <row r="25" spans="1:20" ht="13.5" customHeight="1" thickBot="1">
      <c r="A25" s="20" t="s">
        <v>48</v>
      </c>
      <c r="B25" s="36" t="s">
        <v>43</v>
      </c>
      <c r="C25" s="57"/>
      <c r="D25" s="51"/>
      <c r="E25" s="51">
        <f aca="true" t="shared" si="5" ref="E25:R25">SUM(E8+E9-E10)-E24</f>
        <v>867.5699999999983</v>
      </c>
      <c r="F25" s="51">
        <f>SUM(F8+F9-F10)-F24</f>
        <v>7364.692500000002</v>
      </c>
      <c r="G25" s="50">
        <f t="shared" si="5"/>
        <v>1012.4424999999998</v>
      </c>
      <c r="H25" s="49">
        <f t="shared" si="5"/>
        <v>1141.4424999999999</v>
      </c>
      <c r="I25" s="50">
        <f t="shared" si="5"/>
        <v>1201.8625</v>
      </c>
      <c r="J25" s="49">
        <f t="shared" si="5"/>
        <v>1003.2824999999999</v>
      </c>
      <c r="K25" s="50">
        <f t="shared" si="5"/>
        <v>1109.5325</v>
      </c>
      <c r="L25" s="49">
        <f t="shared" si="5"/>
        <v>-2028.0075</v>
      </c>
      <c r="M25" s="50">
        <f t="shared" si="5"/>
        <v>1080.2434999999998</v>
      </c>
      <c r="N25" s="49">
        <f t="shared" si="5"/>
        <v>798.7434999999994</v>
      </c>
      <c r="O25" s="50">
        <f t="shared" si="5"/>
        <v>1246.4134999999994</v>
      </c>
      <c r="P25" s="49">
        <f t="shared" si="5"/>
        <v>845.8134999999995</v>
      </c>
      <c r="Q25" s="50">
        <f t="shared" si="5"/>
        <v>1096.1035</v>
      </c>
      <c r="R25" s="49">
        <f t="shared" si="5"/>
        <v>802.9634999999996</v>
      </c>
      <c r="S25" s="49">
        <f t="shared" si="2"/>
        <v>9310.835999999998</v>
      </c>
      <c r="T25" s="35"/>
    </row>
    <row r="26" spans="1:20" ht="24" customHeight="1" thickBot="1">
      <c r="A26" s="62"/>
      <c r="B26" s="69" t="s">
        <v>21</v>
      </c>
      <c r="C26" s="70">
        <v>8297.82</v>
      </c>
      <c r="D26" s="71">
        <f>SUM(D8-D10,A26)-D24</f>
        <v>3443.7799999999975</v>
      </c>
      <c r="E26" s="72">
        <f>SUM(E8+E9-E10,A26)-E24</f>
        <v>867.5699999999983</v>
      </c>
      <c r="F26" s="72">
        <f>SUM(F8+F9-F10,A26)-F24</f>
        <v>7364.692500000002</v>
      </c>
      <c r="G26" s="73">
        <f>SUM(G8+G9-G10,B26)-G24</f>
        <v>1012.4424999999998</v>
      </c>
      <c r="H26" s="71">
        <f aca="true" t="shared" si="6" ref="H26:M26">SUM(H25+G26)</f>
        <v>2153.8849999999998</v>
      </c>
      <c r="I26" s="71">
        <f t="shared" si="6"/>
        <v>3355.7474999999995</v>
      </c>
      <c r="J26" s="71">
        <f t="shared" si="6"/>
        <v>4359.03</v>
      </c>
      <c r="K26" s="71">
        <f t="shared" si="6"/>
        <v>5468.5625</v>
      </c>
      <c r="L26" s="71">
        <f t="shared" si="6"/>
        <v>3440.5550000000003</v>
      </c>
      <c r="M26" s="74">
        <f t="shared" si="6"/>
        <v>4520.7985</v>
      </c>
      <c r="N26" s="72">
        <f>SUM(N25+M26)</f>
        <v>5319.5419999999995</v>
      </c>
      <c r="O26" s="73">
        <f>SUM(O25+N26)</f>
        <v>6565.955499999999</v>
      </c>
      <c r="P26" s="71">
        <f>SUM(P25+O26)</f>
        <v>7411.768999999998</v>
      </c>
      <c r="Q26" s="73">
        <f>SUM(Q25+P26)</f>
        <v>8507.872499999998</v>
      </c>
      <c r="R26" s="71">
        <f>SUM(R25+Q26)</f>
        <v>9310.835999999998</v>
      </c>
      <c r="S26" s="72"/>
      <c r="T26" s="75"/>
    </row>
    <row r="27" spans="1:20" ht="23.25" customHeight="1" thickBot="1">
      <c r="A27" s="20" t="s">
        <v>36</v>
      </c>
      <c r="B27" s="22" t="s">
        <v>22</v>
      </c>
      <c r="C27" s="22">
        <v>8297.82</v>
      </c>
      <c r="D27" s="60">
        <f>SUM(D26+C27)</f>
        <v>11741.599999999997</v>
      </c>
      <c r="E27" s="60">
        <f>SUM(E26+D27)</f>
        <v>12609.169999999995</v>
      </c>
      <c r="F27" s="60">
        <f>SUM(F26+E27)</f>
        <v>19973.862499999996</v>
      </c>
      <c r="G27" s="60">
        <f>SUM(G26+F27)</f>
        <v>20986.304999999997</v>
      </c>
      <c r="H27" s="49">
        <f aca="true" t="shared" si="7" ref="H27:Q27">SUM(H25+G27)</f>
        <v>22127.747499999998</v>
      </c>
      <c r="I27" s="49">
        <f t="shared" si="7"/>
        <v>23329.609999999997</v>
      </c>
      <c r="J27" s="49">
        <f t="shared" si="7"/>
        <v>24332.892499999998</v>
      </c>
      <c r="K27" s="49">
        <f t="shared" si="7"/>
        <v>25442.425</v>
      </c>
      <c r="L27" s="49">
        <f t="shared" si="7"/>
        <v>23414.4175</v>
      </c>
      <c r="M27" s="49">
        <f t="shared" si="7"/>
        <v>24494.661</v>
      </c>
      <c r="N27" s="49">
        <f t="shared" si="7"/>
        <v>25293.4045</v>
      </c>
      <c r="O27" s="49">
        <f t="shared" si="7"/>
        <v>26539.818</v>
      </c>
      <c r="P27" s="49">
        <f t="shared" si="7"/>
        <v>27385.6315</v>
      </c>
      <c r="Q27" s="49">
        <f t="shared" si="7"/>
        <v>28481.735</v>
      </c>
      <c r="R27" s="49">
        <f>SUM(R25+Q27)</f>
        <v>29284.6985</v>
      </c>
      <c r="S27" s="49"/>
      <c r="T27" s="53"/>
    </row>
    <row r="28" spans="1:19" ht="24.75" customHeight="1" hidden="1" thickBot="1">
      <c r="A28" s="20" t="s">
        <v>37</v>
      </c>
      <c r="B28" s="41"/>
      <c r="C28" s="41"/>
      <c r="D28" s="41"/>
      <c r="E28" s="41"/>
      <c r="F28" s="41"/>
      <c r="G28" s="40"/>
      <c r="H28" s="5"/>
      <c r="I28" s="6"/>
      <c r="J28" s="6"/>
      <c r="K28" s="6"/>
      <c r="L28" s="6"/>
      <c r="M28" s="51"/>
      <c r="N28" s="51"/>
      <c r="O28" s="51"/>
      <c r="P28" s="51"/>
      <c r="Q28" s="51"/>
      <c r="R28" s="33"/>
      <c r="S28" s="24"/>
    </row>
    <row r="29" spans="1:19" ht="27" customHeight="1" hidden="1" thickBot="1">
      <c r="A29" s="20" t="s">
        <v>38</v>
      </c>
      <c r="B29" s="41"/>
      <c r="C29" s="41"/>
      <c r="D29" s="41"/>
      <c r="E29" s="41"/>
      <c r="F29" s="41"/>
      <c r="G29" s="40"/>
      <c r="H29" s="5"/>
      <c r="I29" s="6"/>
      <c r="J29" s="6"/>
      <c r="K29" s="6"/>
      <c r="L29" s="6"/>
      <c r="M29" s="49"/>
      <c r="N29" s="49"/>
      <c r="O29" s="49"/>
      <c r="P29" s="49"/>
      <c r="Q29" s="49"/>
      <c r="R29" s="31"/>
      <c r="S29" s="25"/>
    </row>
    <row r="30" spans="1:20" ht="9" customHeight="1" hidden="1" thickBot="1">
      <c r="A30" s="20" t="s">
        <v>38</v>
      </c>
      <c r="B30" s="18" t="s">
        <v>42</v>
      </c>
      <c r="C30" s="54"/>
      <c r="D30" s="54"/>
      <c r="E30" s="54"/>
      <c r="F30" s="54"/>
      <c r="G30" s="42"/>
      <c r="H30" s="34"/>
      <c r="I30" s="10"/>
      <c r="J30" s="10"/>
      <c r="K30" s="10"/>
      <c r="L30" s="10"/>
      <c r="M30" s="10"/>
      <c r="N30" s="6"/>
      <c r="O30" s="6"/>
      <c r="P30" s="6"/>
      <c r="Q30" s="6"/>
      <c r="R30" s="7"/>
      <c r="S30" s="32"/>
      <c r="T30" s="26"/>
    </row>
    <row r="31" spans="1:20" ht="15" customHeight="1" hidden="1" thickBot="1">
      <c r="A31" s="20" t="s">
        <v>39</v>
      </c>
      <c r="B31" s="18" t="s">
        <v>23</v>
      </c>
      <c r="C31" s="54"/>
      <c r="D31" s="54"/>
      <c r="E31" s="54"/>
      <c r="F31" s="54"/>
      <c r="G31" s="42"/>
      <c r="H31" s="34"/>
      <c r="I31" s="10"/>
      <c r="J31" s="10"/>
      <c r="K31" s="10"/>
      <c r="L31" s="10"/>
      <c r="M31" s="10"/>
      <c r="N31" s="6"/>
      <c r="O31" s="6"/>
      <c r="P31" s="6"/>
      <c r="Q31" s="6"/>
      <c r="R31" s="7"/>
      <c r="S31" s="31"/>
      <c r="T31" s="27"/>
    </row>
    <row r="32" spans="1:20" ht="0.75" customHeight="1" hidden="1" thickBot="1">
      <c r="A32" s="21" t="s">
        <v>40</v>
      </c>
      <c r="G32" s="8"/>
      <c r="H32" s="8"/>
      <c r="I32" s="8"/>
      <c r="J32" s="8"/>
      <c r="K32" s="8"/>
      <c r="L32" s="8"/>
      <c r="M32" s="8"/>
      <c r="N32" s="10"/>
      <c r="O32" s="10"/>
      <c r="P32" s="10"/>
      <c r="Q32" s="10"/>
      <c r="R32" s="11">
        <f>SUM(Q28-R30)</f>
        <v>0</v>
      </c>
      <c r="S32" s="34"/>
      <c r="T32" s="28"/>
    </row>
    <row r="33" spans="1:20" ht="24" customHeight="1" hidden="1" thickBot="1">
      <c r="A33" s="21" t="s">
        <v>41</v>
      </c>
      <c r="N33" s="10"/>
      <c r="O33" s="10"/>
      <c r="P33" s="10"/>
      <c r="Q33" s="10"/>
      <c r="R33" s="11">
        <f>SUM(Q29-R30)</f>
        <v>0</v>
      </c>
      <c r="S33" s="34"/>
      <c r="T33" s="28"/>
    </row>
    <row r="34" spans="14:20" ht="11.25" customHeight="1">
      <c r="N34" s="8"/>
      <c r="O34" s="8"/>
      <c r="P34" s="8"/>
      <c r="Q34" s="8"/>
      <c r="R34" s="8"/>
      <c r="S34" s="8"/>
      <c r="T34" s="9"/>
    </row>
    <row r="35" ht="12.75" hidden="1"/>
    <row r="36" ht="0.75" customHeight="1"/>
    <row r="37" ht="12.75" hidden="1">
      <c r="B37" t="s">
        <v>46</v>
      </c>
    </row>
    <row r="38" ht="12.75" hidden="1"/>
    <row r="39" ht="12.75">
      <c r="B39" t="s">
        <v>55</v>
      </c>
    </row>
    <row r="42" ht="12.75" customHeight="1"/>
    <row r="43" ht="12.75" customHeight="1"/>
  </sheetData>
  <sheetProtection/>
  <mergeCells count="5">
    <mergeCell ref="B4:T4"/>
    <mergeCell ref="B5:T5"/>
    <mergeCell ref="B3:T3"/>
    <mergeCell ref="B1:I1"/>
    <mergeCell ref="B2:S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2019-02-11T13:18:07Z</cp:lastPrinted>
  <dcterms:created xsi:type="dcterms:W3CDTF">2011-06-16T11:06:26Z</dcterms:created>
  <dcterms:modified xsi:type="dcterms:W3CDTF">2020-02-05T05:50:14Z</dcterms:modified>
  <cp:category/>
  <cp:version/>
  <cp:contentType/>
  <cp:contentStatus/>
</cp:coreProperties>
</file>