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<sst xmlns="http://schemas.openxmlformats.org/spreadsheetml/2006/main" count="78" uniqueCount="77">
  <si>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</si>
  <si>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</si>
  <si>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</si>
  <si>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</si>
  <si>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</si>
  <si>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</si>
  <si>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</si>
  <si>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</si>
  <si>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</si>
  <si>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</si>
  <si>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</si>
  <si>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</si>
  <si>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</si>
  <si>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</si>
  <si>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</si>
  <si>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</si>
  <si>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</si>
  <si>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</si>
  <si>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</si>
  <si>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</si>
  <si>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</si>
  <si>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</si>
  <si>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</si>
  <si>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</si>
  <si>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</si>
  <si>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</si>
  <si>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</si>
  <si>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</si>
  <si>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</si>
  <si>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</si>
  <si>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</si>
  <si>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</si>
  <si>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</si>
  <si>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</si>
  <si>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</si>
  <si>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</si>
  <si>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</si>
  <si>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</si>
  <si>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</si>
  <si>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</si>
  <si>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</si>
  <si>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</si>
  <si>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</si>
  <si>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по жилому дому г. Унеча ул. Комсомольская  д.18</t>
  </si>
  <si>
    <t>за 2010 г</t>
  </si>
  <si>
    <t>10</t>
  </si>
  <si>
    <t>Финансовый результат по дому с начала года</t>
  </si>
  <si>
    <t>Итого за 2011 г</t>
  </si>
  <si>
    <t>Результат за месяц</t>
  </si>
  <si>
    <t>Итого за 2012 г</t>
  </si>
  <si>
    <t>Благоустройство территории</t>
  </si>
  <si>
    <t>4.13</t>
  </si>
  <si>
    <t xml:space="preserve">Материалы </t>
  </si>
  <si>
    <t>4.14</t>
  </si>
  <si>
    <t>Итого за 2013 г</t>
  </si>
  <si>
    <t>Итого за 2014 г</t>
  </si>
  <si>
    <t>рентабельность 5%</t>
  </si>
  <si>
    <t>Итого за 2015 г</t>
  </si>
  <si>
    <t>Услуги сторонних орган.</t>
  </si>
  <si>
    <t xml:space="preserve">Расходы на управление,аренда, связь </t>
  </si>
  <si>
    <t>Проверка вент.каналов</t>
  </si>
  <si>
    <t>4.4</t>
  </si>
  <si>
    <t>Исполнитель  вед.экономист  Викторова Л.С.</t>
  </si>
  <si>
    <t xml:space="preserve">Услуги агентские,охрана труда,отопление, хол.вода, эл.энегрия   </t>
  </si>
  <si>
    <t>Итого за 2016 г</t>
  </si>
  <si>
    <t>Итого за 2017 г</t>
  </si>
  <si>
    <t>Начислено   СОИД</t>
  </si>
  <si>
    <t>Электроэнергия СОИД</t>
  </si>
  <si>
    <t>Горячая вода СОИД</t>
  </si>
  <si>
    <t>Дератизация</t>
  </si>
  <si>
    <t>Транспортные(ГСМ,зап.части,амортизация,страхование)</t>
  </si>
  <si>
    <t>Итого за 2018 г</t>
  </si>
  <si>
    <t>Итого за 2019 г</t>
  </si>
  <si>
    <t>Всего за 2010-2019</t>
  </si>
  <si>
    <t>Вывоз ТБО (Утилизация)</t>
  </si>
  <si>
    <t>Дом по ул.Комсомольская д.18 вступил в ООО "Наш дом" с февраля 2010 года  тариф 9,2 руб с января 2019 года тариф 8,6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</si>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</sst>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7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2" fontId="21" fillId="0" borderId="36" xfId="0" applyNumberFormat="1" applyFont="1" applyBorder="1" applyAlignment="1">
      <alignment horizontal="right"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19" fillId="0" borderId="39" xfId="0" applyFont="1" applyBorder="1" applyAlignment="1">
      <alignment horizontal="center" vertical="center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0" fontId="26" fillId="0" borderId="32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2" fontId="21" fillId="0" borderId="18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0" fontId="26" fillId="0" borderId="37" xfId="0" applyFont="1" applyBorder="1" applyAlignment="1">
      <alignment wrapText="1"/>
    </xf>
    <xf numFmtId="0" fontId="27" fillId="0" borderId="32" xfId="0" applyFont="1" applyBorder="1" applyAlignment="1">
      <alignment/>
    </xf>
    <xf numFmtId="0" fontId="27" fillId="0" borderId="35" xfId="0" applyFont="1" applyBorder="1" applyAlignment="1">
      <alignment/>
    </xf>
    <xf numFmtId="2" fontId="27" fillId="0" borderId="35" xfId="0" applyNumberFormat="1" applyFont="1" applyBorder="1" applyAlignment="1">
      <alignment/>
    </xf>
    <xf numFmtId="0" fontId="27" fillId="0" borderId="27" xfId="0" applyFont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8" fillId="0" borderId="35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11" xfId="0" applyFont="1" applyBorder="1" applyAlignment="1">
      <alignment/>
    </xf>
    <xf numFmtId="0" fontId="29" fillId="0" borderId="35" xfId="0" applyFont="1" applyBorder="1" applyAlignment="1">
      <alignment/>
    </xf>
    <xf numFmtId="0" fontId="22" fillId="0" borderId="0" xfId="0" applyFont="1" applyAlignment="1">
      <alignment/>
    </xf>
    <xf numFmtId="0" fontId="28" fillId="0" borderId="35" xfId="0" applyFont="1" applyBorder="1" applyAlignment="1">
      <alignment wrapText="1"/>
    </xf>
    <xf numFmtId="2" fontId="28" fillId="0" borderId="23" xfId="0" applyNumberFormat="1" applyFont="1" applyBorder="1" applyAlignment="1">
      <alignment/>
    </xf>
    <xf numFmtId="2" fontId="28" fillId="0" borderId="35" xfId="0" applyNumberFormat="1" applyFont="1" applyBorder="1" applyAlignment="1">
      <alignment/>
    </xf>
    <xf numFmtId="2" fontId="28" fillId="0" borderId="11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0" fontId="22" fillId="0" borderId="27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PageLayoutView="0" workbookViewId="0" topLeftCell="A1">
      <selection activeCell="B2" sqref="B2:Y2"/>
    </sheetView>
  </sheetViews>
  <sheetFormatPr defaultColWidth="9.00390625" defaultRowHeight="12.75"/>
  <cols>
    <col min="1" max="1" width="3.00390625" style="29" customWidth="1"/>
    <col min="2" max="2" width="19.75390625" style="0" customWidth="1"/>
    <col min="3" max="3" width="7.875" style="0" hidden="1" customWidth="1"/>
    <col min="4" max="4" width="8.125" style="0" hidden="1" customWidth="1"/>
    <col min="5" max="5" width="7.75390625" style="0" hidden="1" customWidth="1"/>
    <col min="6" max="6" width="8.00390625" style="0" hidden="1" customWidth="1"/>
    <col min="7" max="7" width="9.625" style="0" hidden="1" customWidth="1"/>
    <col min="8" max="8" width="9.375" style="0" hidden="1" customWidth="1"/>
    <col min="9" max="9" width="10.125" style="0" hidden="1" customWidth="1"/>
    <col min="10" max="10" width="8.00390625" style="0" hidden="1" customWidth="1"/>
    <col min="11" max="11" width="9.25390625" style="0" hidden="1" customWidth="1"/>
    <col min="12" max="13" width="9.00390625" style="0" customWidth="1"/>
    <col min="14" max="14" width="8.875" style="0" customWidth="1"/>
    <col min="15" max="16" width="8.625" style="0" customWidth="1"/>
    <col min="17" max="18" width="8.25390625" style="0" customWidth="1"/>
    <col min="19" max="19" width="8.625" style="0" customWidth="1"/>
    <col min="20" max="21" width="8.875" style="0" customWidth="1"/>
    <col min="22" max="22" width="8.625" style="0" customWidth="1"/>
    <col min="23" max="23" width="8.75390625" style="0" customWidth="1"/>
    <col min="24" max="24" width="8.625" style="0" customWidth="1"/>
    <col min="25" max="25" width="9.75390625" style="0" customWidth="1"/>
  </cols>
  <sheetData>
    <row r="1" spans="2:30" ht="15" customHeight="1">
      <c r="B1" s="97" t="s">
        <v>76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97" t="s">
        <v>75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X2" s="98"/>
      <c r="Y2" s="98"/>
      <c r="Z2" s="4"/>
      <c r="AA2" s="4"/>
      <c r="AB2" s="4"/>
      <c r="AC2" s="4"/>
      <c r="AD2" s="4"/>
    </row>
    <row r="3" spans="2:30" ht="12.75" customHeight="1">
      <c r="B3" s="96" t="s">
        <v>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3"/>
      <c r="AA3" s="3"/>
      <c r="AB3" s="3"/>
      <c r="AC3" s="3"/>
      <c r="AD3" s="3"/>
    </row>
    <row r="4" spans="2:30" ht="12" customHeight="1">
      <c r="B4" s="95" t="s">
        <v>8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2"/>
      <c r="AA4" s="2"/>
      <c r="AB4" s="2"/>
      <c r="AC4" s="2"/>
      <c r="AD4" s="2"/>
    </row>
    <row r="5" spans="2:30" ht="15" customHeight="1" thickBot="1">
      <c r="B5" s="95" t="s">
        <v>43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2"/>
      <c r="AA5" s="2"/>
      <c r="AB5" s="2"/>
      <c r="AC5" s="2"/>
      <c r="AD5" s="2"/>
    </row>
    <row r="6" spans="2:30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</row>
    <row r="7" spans="1:30" ht="34.5" customHeight="1" thickBot="1">
      <c r="A7" s="39" t="s">
        <v>25</v>
      </c>
      <c r="B7" s="30" t="s">
        <v>5</v>
      </c>
      <c r="C7" s="42" t="s">
        <v>44</v>
      </c>
      <c r="D7" s="63" t="s">
        <v>47</v>
      </c>
      <c r="E7" s="54" t="s">
        <v>49</v>
      </c>
      <c r="F7" s="54" t="s">
        <v>54</v>
      </c>
      <c r="G7" s="63" t="s">
        <v>55</v>
      </c>
      <c r="H7" s="54" t="s">
        <v>57</v>
      </c>
      <c r="I7" s="54" t="s">
        <v>64</v>
      </c>
      <c r="J7" s="54" t="s">
        <v>65</v>
      </c>
      <c r="K7" s="54" t="s">
        <v>71</v>
      </c>
      <c r="L7" s="6" t="s">
        <v>9</v>
      </c>
      <c r="M7" s="5" t="s">
        <v>10</v>
      </c>
      <c r="N7" s="5" t="s">
        <v>11</v>
      </c>
      <c r="O7" s="5" t="s">
        <v>12</v>
      </c>
      <c r="P7" s="5" t="s">
        <v>13</v>
      </c>
      <c r="Q7" s="5" t="s">
        <v>14</v>
      </c>
      <c r="R7" s="5" t="s">
        <v>15</v>
      </c>
      <c r="S7" s="5" t="s">
        <v>16</v>
      </c>
      <c r="T7" s="5" t="s">
        <v>17</v>
      </c>
      <c r="U7" s="5" t="s">
        <v>18</v>
      </c>
      <c r="V7" s="5" t="s">
        <v>20</v>
      </c>
      <c r="W7" s="17" t="s">
        <v>19</v>
      </c>
      <c r="X7" s="54" t="s">
        <v>72</v>
      </c>
      <c r="Y7" s="49" t="s">
        <v>73</v>
      </c>
      <c r="Z7" s="1"/>
      <c r="AA7" s="1"/>
      <c r="AB7" s="1"/>
      <c r="AC7" s="1"/>
      <c r="AD7" s="1"/>
    </row>
    <row r="8" spans="1:25" ht="13.5" thickBot="1">
      <c r="A8" s="40" t="s">
        <v>26</v>
      </c>
      <c r="B8" s="31" t="s">
        <v>1</v>
      </c>
      <c r="C8" s="68">
        <v>98538.44</v>
      </c>
      <c r="D8" s="69">
        <v>107674.96</v>
      </c>
      <c r="E8" s="68">
        <v>107714.52</v>
      </c>
      <c r="F8" s="68">
        <v>107511.2</v>
      </c>
      <c r="G8" s="69">
        <v>107476.24</v>
      </c>
      <c r="H8" s="73">
        <v>107898.06</v>
      </c>
      <c r="I8" s="68">
        <v>107674.96</v>
      </c>
      <c r="J8" s="68">
        <v>107570.08</v>
      </c>
      <c r="K8" s="68">
        <v>107446.8</v>
      </c>
      <c r="L8" s="7">
        <v>8369.95</v>
      </c>
      <c r="M8" s="7">
        <v>8369.95</v>
      </c>
      <c r="N8" s="7">
        <v>8369.95</v>
      </c>
      <c r="O8" s="7">
        <v>8369.95</v>
      </c>
      <c r="P8" s="7">
        <v>8369.95</v>
      </c>
      <c r="Q8" s="7">
        <v>8369.95</v>
      </c>
      <c r="R8" s="7">
        <v>8369.95</v>
      </c>
      <c r="S8" s="7">
        <v>8369.95</v>
      </c>
      <c r="T8" s="7">
        <v>8369.95</v>
      </c>
      <c r="U8" s="7">
        <v>8369.95</v>
      </c>
      <c r="V8" s="7">
        <v>8369.95</v>
      </c>
      <c r="W8" s="7">
        <v>8369.95</v>
      </c>
      <c r="X8" s="55">
        <f>SUM(L8:W8)</f>
        <v>100439.39999999998</v>
      </c>
      <c r="Y8" s="74">
        <f>SUM(C8:W8)</f>
        <v>1059944.6599999997</v>
      </c>
    </row>
    <row r="9" spans="1:25" ht="13.5" thickBot="1">
      <c r="A9" s="40"/>
      <c r="B9" s="31" t="s">
        <v>66</v>
      </c>
      <c r="C9" s="73"/>
      <c r="D9" s="69"/>
      <c r="E9" s="73"/>
      <c r="F9" s="73"/>
      <c r="G9" s="69"/>
      <c r="H9" s="73"/>
      <c r="I9" s="73">
        <v>0</v>
      </c>
      <c r="J9" s="73">
        <v>12762.08</v>
      </c>
      <c r="K9" s="73">
        <v>10507.72</v>
      </c>
      <c r="L9" s="7">
        <f aca="true" t="shared" si="0" ref="L9:Q9">25.52+28.97+118.59</f>
        <v>173.07999999999998</v>
      </c>
      <c r="M9" s="7">
        <f t="shared" si="0"/>
        <v>173.07999999999998</v>
      </c>
      <c r="N9" s="7">
        <f t="shared" si="0"/>
        <v>173.07999999999998</v>
      </c>
      <c r="O9" s="7">
        <f t="shared" si="0"/>
        <v>173.07999999999998</v>
      </c>
      <c r="P9" s="7">
        <f t="shared" si="0"/>
        <v>173.07999999999998</v>
      </c>
      <c r="Q9" s="7">
        <f t="shared" si="0"/>
        <v>173.07999999999998</v>
      </c>
      <c r="R9" s="8">
        <f aca="true" t="shared" si="1" ref="R9:W9">26+29.48+120.73</f>
        <v>176.21</v>
      </c>
      <c r="S9" s="8">
        <f t="shared" si="1"/>
        <v>176.21</v>
      </c>
      <c r="T9" s="8">
        <f t="shared" si="1"/>
        <v>176.21</v>
      </c>
      <c r="U9" s="8">
        <f t="shared" si="1"/>
        <v>176.21</v>
      </c>
      <c r="V9" s="8">
        <f t="shared" si="1"/>
        <v>176.21</v>
      </c>
      <c r="W9" s="8">
        <f t="shared" si="1"/>
        <v>176.21</v>
      </c>
      <c r="X9" s="55">
        <f>SUM(L9:W9)</f>
        <v>2095.74</v>
      </c>
      <c r="Y9" s="74">
        <f>SUM(C9:W9)</f>
        <v>25365.540000000005</v>
      </c>
    </row>
    <row r="10" spans="1:25" s="88" customFormat="1" ht="13.5" thickBot="1">
      <c r="A10" s="81" t="s">
        <v>27</v>
      </c>
      <c r="B10" s="82" t="s">
        <v>2</v>
      </c>
      <c r="C10" s="83">
        <f aca="true" t="shared" si="2" ref="C10:L10">SUM(C11:C24)</f>
        <v>176659.68</v>
      </c>
      <c r="D10" s="84">
        <f t="shared" si="2"/>
        <v>143088.43999999997</v>
      </c>
      <c r="E10" s="83">
        <f t="shared" si="2"/>
        <v>135792.08000000002</v>
      </c>
      <c r="F10" s="83">
        <f t="shared" si="2"/>
        <v>110633.87</v>
      </c>
      <c r="G10" s="85">
        <f t="shared" si="2"/>
        <v>126796.34</v>
      </c>
      <c r="H10" s="83">
        <f>SUM(H11:H24)</f>
        <v>132242.21</v>
      </c>
      <c r="I10" s="83">
        <f>SUM(I11:I24)</f>
        <v>103876.81999999999</v>
      </c>
      <c r="J10" s="83">
        <f>SUM(J11:J24)</f>
        <v>129150.32</v>
      </c>
      <c r="K10" s="83">
        <f t="shared" si="2"/>
        <v>130370.56999999999</v>
      </c>
      <c r="L10" s="86">
        <f t="shared" si="2"/>
        <v>8188.14</v>
      </c>
      <c r="M10" s="86">
        <f aca="true" t="shared" si="3" ref="M10:W10">SUM(M11:M24)</f>
        <v>6903.289999999999</v>
      </c>
      <c r="N10" s="86">
        <f t="shared" si="3"/>
        <v>11445.8</v>
      </c>
      <c r="O10" s="86">
        <f t="shared" si="3"/>
        <v>7436.089999999999</v>
      </c>
      <c r="P10" s="86">
        <f t="shared" si="3"/>
        <v>12659.890000000001</v>
      </c>
      <c r="Q10" s="86">
        <f t="shared" si="3"/>
        <v>22280.210000000003</v>
      </c>
      <c r="R10" s="86">
        <f t="shared" si="3"/>
        <v>8845.020000000002</v>
      </c>
      <c r="S10" s="86">
        <f t="shared" si="3"/>
        <v>7156.299999999999</v>
      </c>
      <c r="T10" s="86">
        <f t="shared" si="3"/>
        <v>6871.7699999999995</v>
      </c>
      <c r="U10" s="86">
        <f t="shared" si="3"/>
        <v>7680.38</v>
      </c>
      <c r="V10" s="86">
        <f t="shared" si="3"/>
        <v>12063.98</v>
      </c>
      <c r="W10" s="84">
        <f t="shared" si="3"/>
        <v>7330.6</v>
      </c>
      <c r="X10" s="83">
        <f>SUM(L10:W10)</f>
        <v>118861.47000000002</v>
      </c>
      <c r="Y10" s="87">
        <f>SUM(C10:W10)</f>
        <v>1307471.8</v>
      </c>
    </row>
    <row r="11" spans="1:25" ht="13.5" thickBot="1">
      <c r="A11" s="40" t="s">
        <v>28</v>
      </c>
      <c r="B11" s="33" t="s">
        <v>74</v>
      </c>
      <c r="C11" s="46">
        <v>16742</v>
      </c>
      <c r="D11" s="64">
        <v>21830.68</v>
      </c>
      <c r="E11" s="46">
        <v>26021.91</v>
      </c>
      <c r="F11" s="46">
        <v>30930.77</v>
      </c>
      <c r="G11" s="64">
        <v>32020.75</v>
      </c>
      <c r="H11" s="46">
        <v>30435.77</v>
      </c>
      <c r="I11" s="46">
        <v>30340.05</v>
      </c>
      <c r="J11" s="46">
        <v>28174.28</v>
      </c>
      <c r="K11" s="46">
        <v>28749.09</v>
      </c>
      <c r="L11" s="7"/>
      <c r="M11" s="8"/>
      <c r="N11" s="8"/>
      <c r="O11" s="8">
        <v>53.38</v>
      </c>
      <c r="P11" s="8">
        <v>40.79</v>
      </c>
      <c r="Q11" s="8">
        <v>16.48</v>
      </c>
      <c r="R11" s="8">
        <v>43.44</v>
      </c>
      <c r="S11" s="8">
        <v>32.09</v>
      </c>
      <c r="T11" s="8">
        <v>8.23</v>
      </c>
      <c r="U11" s="8">
        <v>29.43</v>
      </c>
      <c r="V11" s="8">
        <v>24.5</v>
      </c>
      <c r="W11" s="18">
        <v>16.21</v>
      </c>
      <c r="X11" s="56">
        <f aca="true" t="shared" si="4" ref="X11:X26">SUM(L11:W11)</f>
        <v>264.55</v>
      </c>
      <c r="Y11" s="75">
        <f aca="true" t="shared" si="5" ref="Y11:Y24">SUM(C11:W11)</f>
        <v>245509.85</v>
      </c>
    </row>
    <row r="12" spans="1:25" ht="16.5" customHeight="1" thickBot="1">
      <c r="A12" s="40" t="s">
        <v>29</v>
      </c>
      <c r="B12" s="34" t="s">
        <v>58</v>
      </c>
      <c r="C12" s="47">
        <v>29489.99</v>
      </c>
      <c r="D12" s="65">
        <v>16959.08</v>
      </c>
      <c r="E12" s="47">
        <f>4288.32+7685</f>
        <v>11973.32</v>
      </c>
      <c r="F12" s="47">
        <v>9305.38</v>
      </c>
      <c r="G12" s="65">
        <v>555.3</v>
      </c>
      <c r="H12" s="47">
        <v>2490</v>
      </c>
      <c r="I12" s="47">
        <v>82.07</v>
      </c>
      <c r="J12" s="47">
        <v>597.84</v>
      </c>
      <c r="K12" s="47">
        <v>2165</v>
      </c>
      <c r="L12" s="9">
        <v>944</v>
      </c>
      <c r="M12" s="10"/>
      <c r="N12" s="10"/>
      <c r="O12" s="10"/>
      <c r="P12" s="10"/>
      <c r="Q12" s="10">
        <v>4800</v>
      </c>
      <c r="R12" s="10"/>
      <c r="S12" s="10"/>
      <c r="T12" s="10"/>
      <c r="U12" s="10"/>
      <c r="V12" s="10"/>
      <c r="W12" s="19"/>
      <c r="X12" s="56">
        <f t="shared" si="4"/>
        <v>5744</v>
      </c>
      <c r="Y12" s="75">
        <f t="shared" si="5"/>
        <v>79361.98000000001</v>
      </c>
    </row>
    <row r="13" spans="1:25" ht="25.5" customHeight="1" thickBot="1">
      <c r="A13" s="40" t="s">
        <v>30</v>
      </c>
      <c r="B13" s="32" t="s">
        <v>4</v>
      </c>
      <c r="C13" s="47">
        <v>0</v>
      </c>
      <c r="D13" s="65">
        <v>3331.02</v>
      </c>
      <c r="E13" s="47">
        <v>0</v>
      </c>
      <c r="F13" s="47">
        <v>0</v>
      </c>
      <c r="G13" s="65">
        <v>3565</v>
      </c>
      <c r="H13" s="47">
        <v>0</v>
      </c>
      <c r="I13" s="47">
        <v>0</v>
      </c>
      <c r="J13" s="47">
        <v>3908.1</v>
      </c>
      <c r="K13" s="47">
        <v>4420.68</v>
      </c>
      <c r="L13" s="9"/>
      <c r="M13" s="10"/>
      <c r="N13" s="10">
        <v>4475.4</v>
      </c>
      <c r="O13" s="10"/>
      <c r="P13" s="10"/>
      <c r="Q13" s="10"/>
      <c r="R13" s="10"/>
      <c r="S13" s="10"/>
      <c r="T13" s="10"/>
      <c r="U13" s="10"/>
      <c r="V13" s="10"/>
      <c r="W13" s="19"/>
      <c r="X13" s="56">
        <f t="shared" si="4"/>
        <v>4475.4</v>
      </c>
      <c r="Y13" s="75">
        <f t="shared" si="5"/>
        <v>19700.2</v>
      </c>
    </row>
    <row r="14" spans="1:25" ht="15.75" customHeight="1" thickBot="1">
      <c r="A14" s="40" t="s">
        <v>61</v>
      </c>
      <c r="B14" s="34" t="s">
        <v>52</v>
      </c>
      <c r="C14" s="47">
        <v>51658.55</v>
      </c>
      <c r="D14" s="65">
        <v>30775.73</v>
      </c>
      <c r="E14" s="47">
        <v>25741.05</v>
      </c>
      <c r="F14" s="47">
        <v>1121.86</v>
      </c>
      <c r="G14" s="65">
        <v>16416.98</v>
      </c>
      <c r="H14" s="47">
        <v>14107.72</v>
      </c>
      <c r="I14" s="47">
        <v>1426.54</v>
      </c>
      <c r="J14" s="47">
        <f>2489.71+4537.16</f>
        <v>7026.87</v>
      </c>
      <c r="K14" s="47">
        <v>5467.16</v>
      </c>
      <c r="L14" s="9"/>
      <c r="M14" s="10"/>
      <c r="N14" s="10">
        <v>90</v>
      </c>
      <c r="O14" s="10">
        <v>150</v>
      </c>
      <c r="P14" s="10">
        <v>5472.48</v>
      </c>
      <c r="Q14" s="10">
        <v>10621.35</v>
      </c>
      <c r="R14" s="10">
        <v>647.15</v>
      </c>
      <c r="S14" s="10">
        <v>385</v>
      </c>
      <c r="T14" s="10">
        <v>45</v>
      </c>
      <c r="U14" s="10"/>
      <c r="V14" s="10">
        <v>4845</v>
      </c>
      <c r="W14" s="19">
        <v>75</v>
      </c>
      <c r="X14" s="56">
        <f t="shared" si="4"/>
        <v>22330.98</v>
      </c>
      <c r="Y14" s="75">
        <f t="shared" si="5"/>
        <v>176073.44</v>
      </c>
    </row>
    <row r="15" spans="1:25" ht="15.75" customHeight="1" thickBot="1">
      <c r="A15" s="40" t="s">
        <v>31</v>
      </c>
      <c r="B15" s="34" t="s">
        <v>60</v>
      </c>
      <c r="C15" s="47"/>
      <c r="D15" s="65"/>
      <c r="E15" s="47"/>
      <c r="F15" s="47"/>
      <c r="G15" s="65"/>
      <c r="H15" s="47">
        <v>900</v>
      </c>
      <c r="I15" s="47">
        <v>900</v>
      </c>
      <c r="J15" s="47">
        <v>600</v>
      </c>
      <c r="K15" s="47">
        <v>800</v>
      </c>
      <c r="L15" s="9"/>
      <c r="M15" s="10"/>
      <c r="N15" s="10"/>
      <c r="O15" s="10"/>
      <c r="P15" s="10"/>
      <c r="Q15" s="10"/>
      <c r="R15" s="10">
        <v>1200</v>
      </c>
      <c r="S15" s="10"/>
      <c r="T15" s="10"/>
      <c r="U15" s="10"/>
      <c r="V15" s="10"/>
      <c r="W15" s="19"/>
      <c r="X15" s="56">
        <f>SUM(L15:W15)</f>
        <v>1200</v>
      </c>
      <c r="Y15" s="75">
        <f>SUM(C15:W15)</f>
        <v>4400</v>
      </c>
    </row>
    <row r="16" spans="1:25" ht="24.75" customHeight="1" thickBot="1">
      <c r="A16" s="40" t="s">
        <v>32</v>
      </c>
      <c r="B16" s="34" t="s">
        <v>50</v>
      </c>
      <c r="C16" s="47">
        <v>0</v>
      </c>
      <c r="D16" s="65">
        <v>0</v>
      </c>
      <c r="E16" s="47">
        <v>256</v>
      </c>
      <c r="F16" s="47">
        <v>0</v>
      </c>
      <c r="G16" s="65">
        <v>1273.75</v>
      </c>
      <c r="H16" s="47">
        <v>7833.36</v>
      </c>
      <c r="I16" s="47">
        <v>228</v>
      </c>
      <c r="J16" s="47">
        <v>82.36</v>
      </c>
      <c r="K16" s="47">
        <v>78</v>
      </c>
      <c r="L16" s="9">
        <v>95.84</v>
      </c>
      <c r="M16" s="10">
        <v>43</v>
      </c>
      <c r="N16" s="10"/>
      <c r="O16" s="10"/>
      <c r="P16" s="10"/>
      <c r="Q16" s="10"/>
      <c r="R16" s="10"/>
      <c r="S16" s="10"/>
      <c r="T16" s="10"/>
      <c r="U16" s="10"/>
      <c r="V16" s="10"/>
      <c r="W16" s="19"/>
      <c r="X16" s="56">
        <f t="shared" si="4"/>
        <v>138.84</v>
      </c>
      <c r="Y16" s="75">
        <f t="shared" si="5"/>
        <v>9890.310000000001</v>
      </c>
    </row>
    <row r="17" spans="1:25" ht="12" customHeight="1" thickBot="1">
      <c r="A17" s="40" t="s">
        <v>33</v>
      </c>
      <c r="B17" s="34" t="s">
        <v>67</v>
      </c>
      <c r="C17" s="47">
        <v>8205.66</v>
      </c>
      <c r="D17" s="65">
        <v>11328.87</v>
      </c>
      <c r="E17" s="47">
        <v>4932.4</v>
      </c>
      <c r="F17" s="47">
        <v>0</v>
      </c>
      <c r="G17" s="65"/>
      <c r="H17" s="47">
        <v>0</v>
      </c>
      <c r="I17" s="47">
        <v>0</v>
      </c>
      <c r="J17" s="47">
        <v>10674.66</v>
      </c>
      <c r="K17" s="47">
        <v>8482.17</v>
      </c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9"/>
      <c r="X17" s="56">
        <f t="shared" si="4"/>
        <v>0</v>
      </c>
      <c r="Y17" s="75">
        <f t="shared" si="5"/>
        <v>43623.759999999995</v>
      </c>
    </row>
    <row r="18" spans="1:25" ht="12" customHeight="1" thickBot="1">
      <c r="A18" s="40"/>
      <c r="B18" s="34" t="s">
        <v>68</v>
      </c>
      <c r="C18" s="47"/>
      <c r="D18" s="65"/>
      <c r="E18" s="47"/>
      <c r="F18" s="47"/>
      <c r="G18" s="65"/>
      <c r="H18" s="47"/>
      <c r="I18" s="47"/>
      <c r="J18" s="47">
        <v>1526.44</v>
      </c>
      <c r="K18" s="47">
        <v>1312.82</v>
      </c>
      <c r="L18" s="9">
        <v>118.57</v>
      </c>
      <c r="M18" s="10">
        <v>118.57</v>
      </c>
      <c r="N18" s="10">
        <v>118.57</v>
      </c>
      <c r="O18" s="10">
        <v>118.57</v>
      </c>
      <c r="P18" s="10">
        <v>118.57</v>
      </c>
      <c r="Q18" s="10">
        <v>118.57</v>
      </c>
      <c r="R18" s="10">
        <v>55.14</v>
      </c>
      <c r="S18" s="10">
        <v>116.44</v>
      </c>
      <c r="T18" s="10">
        <v>120.74</v>
      </c>
      <c r="U18" s="10">
        <v>120.74</v>
      </c>
      <c r="V18" s="10">
        <v>120.74</v>
      </c>
      <c r="W18" s="10">
        <v>120.74</v>
      </c>
      <c r="X18" s="56">
        <f>SUM(L18:W18)</f>
        <v>1365.9599999999998</v>
      </c>
      <c r="Y18" s="75">
        <f>SUM(C18:W18)</f>
        <v>4205.22</v>
      </c>
    </row>
    <row r="19" spans="1:25" ht="14.25" customHeight="1" thickBot="1">
      <c r="A19" s="40" t="s">
        <v>34</v>
      </c>
      <c r="B19" s="34" t="s">
        <v>69</v>
      </c>
      <c r="C19" s="47">
        <v>796.21</v>
      </c>
      <c r="D19" s="65">
        <v>427.53</v>
      </c>
      <c r="E19" s="47">
        <v>464.63</v>
      </c>
      <c r="F19" s="47">
        <v>264.25</v>
      </c>
      <c r="G19" s="65">
        <v>468.45</v>
      </c>
      <c r="H19" s="47">
        <v>543.8</v>
      </c>
      <c r="I19" s="47">
        <v>558.55</v>
      </c>
      <c r="J19" s="47">
        <v>3326.12</v>
      </c>
      <c r="K19" s="47">
        <v>789.2</v>
      </c>
      <c r="L19" s="9"/>
      <c r="M19" s="10"/>
      <c r="N19" s="10">
        <v>185.42</v>
      </c>
      <c r="O19" s="10"/>
      <c r="P19" s="10">
        <v>209.76</v>
      </c>
      <c r="Q19" s="10"/>
      <c r="R19" s="10"/>
      <c r="S19" s="10"/>
      <c r="T19" s="10">
        <v>224.77</v>
      </c>
      <c r="U19" s="10"/>
      <c r="V19" s="10">
        <v>209.76</v>
      </c>
      <c r="W19" s="19"/>
      <c r="X19" s="56">
        <f>SUM(L19:W19)</f>
        <v>829.7099999999999</v>
      </c>
      <c r="Y19" s="76">
        <f>SUM(C19:W19)</f>
        <v>8468.45</v>
      </c>
    </row>
    <row r="20" spans="1:25" ht="35.25" customHeight="1" thickBot="1">
      <c r="A20" s="40" t="s">
        <v>35</v>
      </c>
      <c r="B20" s="34" t="s">
        <v>70</v>
      </c>
      <c r="C20" s="47">
        <v>1326.11</v>
      </c>
      <c r="D20" s="65">
        <v>4737.81</v>
      </c>
      <c r="E20" s="47">
        <v>6915.46</v>
      </c>
      <c r="F20" s="47">
        <v>6007.82</v>
      </c>
      <c r="G20" s="65">
        <v>5847.24</v>
      </c>
      <c r="H20" s="47">
        <v>4697.09</v>
      </c>
      <c r="I20" s="47">
        <v>4955.89</v>
      </c>
      <c r="J20" s="47">
        <v>5030.93</v>
      </c>
      <c r="K20" s="47">
        <v>5280.81</v>
      </c>
      <c r="L20" s="9">
        <v>425.37</v>
      </c>
      <c r="M20" s="10">
        <v>445.88</v>
      </c>
      <c r="N20" s="10">
        <v>354.03</v>
      </c>
      <c r="O20" s="10">
        <v>424.01</v>
      </c>
      <c r="P20" s="10">
        <v>352.73</v>
      </c>
      <c r="Q20" s="10">
        <v>270.45</v>
      </c>
      <c r="R20" s="10">
        <v>282.67</v>
      </c>
      <c r="S20" s="10">
        <v>239.59</v>
      </c>
      <c r="T20" s="10">
        <v>269.39</v>
      </c>
      <c r="U20" s="10">
        <v>557.86</v>
      </c>
      <c r="V20" s="10">
        <v>352.75</v>
      </c>
      <c r="W20" s="19">
        <v>300.12</v>
      </c>
      <c r="X20" s="56">
        <f t="shared" si="4"/>
        <v>4274.85</v>
      </c>
      <c r="Y20" s="75">
        <f t="shared" si="5"/>
        <v>49074.01</v>
      </c>
    </row>
    <row r="21" spans="1:25" ht="33" customHeight="1" thickBot="1">
      <c r="A21" s="40" t="s">
        <v>36</v>
      </c>
      <c r="B21" s="34" t="s">
        <v>59</v>
      </c>
      <c r="C21" s="47">
        <v>2344.2</v>
      </c>
      <c r="D21" s="65">
        <v>2577.23</v>
      </c>
      <c r="E21" s="47">
        <v>773.62</v>
      </c>
      <c r="F21" s="47">
        <v>548.85</v>
      </c>
      <c r="G21" s="65">
        <v>1193.14</v>
      </c>
      <c r="H21" s="47">
        <v>809.41</v>
      </c>
      <c r="I21" s="47">
        <v>705.27</v>
      </c>
      <c r="J21" s="47">
        <v>550.31</v>
      </c>
      <c r="K21" s="47">
        <v>532.7</v>
      </c>
      <c r="L21" s="9">
        <v>33.66</v>
      </c>
      <c r="M21" s="10">
        <v>29.02</v>
      </c>
      <c r="N21" s="10">
        <v>25.29</v>
      </c>
      <c r="O21" s="10">
        <v>29.42</v>
      </c>
      <c r="P21" s="10">
        <v>3.11</v>
      </c>
      <c r="Q21" s="10">
        <v>44.1</v>
      </c>
      <c r="R21" s="10">
        <v>49.46</v>
      </c>
      <c r="S21" s="10">
        <v>57.61</v>
      </c>
      <c r="T21" s="10">
        <v>85.62</v>
      </c>
      <c r="U21" s="10">
        <v>21.17</v>
      </c>
      <c r="V21" s="10">
        <v>78.14</v>
      </c>
      <c r="W21" s="19">
        <v>27.5</v>
      </c>
      <c r="X21" s="56">
        <f t="shared" si="4"/>
        <v>484.1</v>
      </c>
      <c r="Y21" s="75">
        <f t="shared" si="5"/>
        <v>10518.830000000004</v>
      </c>
    </row>
    <row r="22" spans="1:25" ht="34.5" customHeight="1" thickBot="1">
      <c r="A22" s="40" t="s">
        <v>37</v>
      </c>
      <c r="B22" s="34" t="s">
        <v>63</v>
      </c>
      <c r="C22" s="47">
        <v>5453.05</v>
      </c>
      <c r="D22" s="65">
        <v>4102.52</v>
      </c>
      <c r="E22" s="47">
        <v>4021.08</v>
      </c>
      <c r="F22" s="47">
        <v>5384.22</v>
      </c>
      <c r="G22" s="65">
        <v>4629.8</v>
      </c>
      <c r="H22" s="47">
        <v>6074.37</v>
      </c>
      <c r="I22" s="47">
        <v>5157.71</v>
      </c>
      <c r="J22" s="47">
        <v>5427.49</v>
      </c>
      <c r="K22" s="47">
        <v>5938.61</v>
      </c>
      <c r="L22" s="9">
        <f>21.01+203.54+250.71</f>
        <v>475.26</v>
      </c>
      <c r="M22" s="10">
        <f>19.8+283.59+243.04</f>
        <v>546.43</v>
      </c>
      <c r="N22" s="10">
        <f>253.47+17.22+189.08</f>
        <v>459.77</v>
      </c>
      <c r="O22" s="10">
        <f>18.42+209.05+671.68</f>
        <v>899.15</v>
      </c>
      <c r="P22" s="10">
        <f>17.98+230.83+182.04</f>
        <v>430.85</v>
      </c>
      <c r="Q22" s="10">
        <f>20.89+160.65+322.33</f>
        <v>503.87</v>
      </c>
      <c r="R22" s="10">
        <f>20.09+272.1+146.8</f>
        <v>438.99</v>
      </c>
      <c r="S22" s="10">
        <f>18.4+167.26+234.02</f>
        <v>419.68</v>
      </c>
      <c r="T22" s="10">
        <f>13.39+148.75+213.09</f>
        <v>375.23</v>
      </c>
      <c r="U22" s="10">
        <f>13.58+238.29+605.49</f>
        <v>857.36</v>
      </c>
      <c r="V22" s="10">
        <f>15.01+149.84+155.95</f>
        <v>320.79999999999995</v>
      </c>
      <c r="W22" s="19">
        <f>14.97+453.16+261.75</f>
        <v>729.8800000000001</v>
      </c>
      <c r="X22" s="56">
        <f t="shared" si="4"/>
        <v>6457.2699999999995</v>
      </c>
      <c r="Y22" s="75">
        <f t="shared" si="5"/>
        <v>52646.12</v>
      </c>
    </row>
    <row r="23" spans="1:25" ht="15.75" customHeight="1" thickBot="1">
      <c r="A23" s="40" t="s">
        <v>51</v>
      </c>
      <c r="B23" s="34" t="s">
        <v>7</v>
      </c>
      <c r="C23" s="47">
        <v>57357.61</v>
      </c>
      <c r="D23" s="65">
        <v>40047.31</v>
      </c>
      <c r="E23" s="47">
        <v>50328.23</v>
      </c>
      <c r="F23" s="47">
        <v>53196.56</v>
      </c>
      <c r="G23" s="65">
        <v>54440.83</v>
      </c>
      <c r="H23" s="47">
        <v>59966.89</v>
      </c>
      <c r="I23" s="47">
        <v>55387.79</v>
      </c>
      <c r="J23" s="47">
        <v>57732.8</v>
      </c>
      <c r="K23" s="47">
        <v>61871.63</v>
      </c>
      <c r="L23" s="9">
        <f>8188.14-2437.38</f>
        <v>5750.76</v>
      </c>
      <c r="M23" s="10">
        <f>6903.29-1522.05</f>
        <v>5381.24</v>
      </c>
      <c r="N23" s="10">
        <f>11445.8-6031.12</f>
        <v>5414.679999999999</v>
      </c>
      <c r="O23" s="10">
        <f>7436.09-1996.26</f>
        <v>5439.83</v>
      </c>
      <c r="P23" s="10">
        <f>12659.89-6951.73</f>
        <v>5708.16</v>
      </c>
      <c r="Q23" s="10">
        <f>22280.21-16697.45</f>
        <v>5582.759999999998</v>
      </c>
      <c r="R23" s="10">
        <f>8845.02-3039.45</f>
        <v>5805.570000000001</v>
      </c>
      <c r="S23" s="10">
        <f>7156.3-1573.06</f>
        <v>5583.24</v>
      </c>
      <c r="T23" s="10">
        <f>6871.77-1451.69</f>
        <v>5420.08</v>
      </c>
      <c r="U23" s="10">
        <f>7680.38-1909.25</f>
        <v>5771.13</v>
      </c>
      <c r="V23" s="10">
        <f>12063.98-6274.39</f>
        <v>5789.589999999999</v>
      </c>
      <c r="W23" s="19">
        <f>7330.6-1592.2</f>
        <v>5738.400000000001</v>
      </c>
      <c r="X23" s="56">
        <f t="shared" si="4"/>
        <v>67385.43999999999</v>
      </c>
      <c r="Y23" s="75">
        <f t="shared" si="5"/>
        <v>557715.0899999999</v>
      </c>
    </row>
    <row r="24" spans="1:25" ht="13.5" customHeight="1" thickBot="1">
      <c r="A24" s="40" t="s">
        <v>53</v>
      </c>
      <c r="B24" s="35" t="s">
        <v>3</v>
      </c>
      <c r="C24" s="48">
        <v>3286.3</v>
      </c>
      <c r="D24" s="66">
        <v>6970.66</v>
      </c>
      <c r="E24" s="48">
        <v>4364.38</v>
      </c>
      <c r="F24" s="48">
        <v>3874.16</v>
      </c>
      <c r="G24" s="66">
        <v>6385.1</v>
      </c>
      <c r="H24" s="48">
        <v>4383.8</v>
      </c>
      <c r="I24" s="48">
        <v>4134.95</v>
      </c>
      <c r="J24" s="48">
        <v>4492.12</v>
      </c>
      <c r="K24" s="48">
        <v>4482.7</v>
      </c>
      <c r="L24" s="11">
        <f>6.46+338.22</f>
        <v>344.68</v>
      </c>
      <c r="M24" s="12">
        <f>6.85+332.3</f>
        <v>339.15000000000003</v>
      </c>
      <c r="N24" s="12">
        <f>6.54+316.1</f>
        <v>322.64000000000004</v>
      </c>
      <c r="O24" s="12">
        <f>6.52+315.21</f>
        <v>321.72999999999996</v>
      </c>
      <c r="P24" s="12">
        <f>6.55+316.89</f>
        <v>323.44</v>
      </c>
      <c r="Q24" s="12">
        <f>6.54+316.09</f>
        <v>322.63</v>
      </c>
      <c r="R24" s="12">
        <f>6.54+316.06</f>
        <v>322.6</v>
      </c>
      <c r="S24" s="12">
        <f>6.65+316</f>
        <v>322.65</v>
      </c>
      <c r="T24" s="12">
        <f>6.65+316.06</f>
        <v>322.71</v>
      </c>
      <c r="U24" s="12">
        <f>6.65+316.04</f>
        <v>322.69</v>
      </c>
      <c r="V24" s="12">
        <f>6.65+316.05</f>
        <v>322.7</v>
      </c>
      <c r="W24" s="21">
        <f>6.65+316.1</f>
        <v>322.75</v>
      </c>
      <c r="X24" s="56">
        <f t="shared" si="4"/>
        <v>3910.37</v>
      </c>
      <c r="Y24" s="75">
        <f t="shared" si="5"/>
        <v>46284.54</v>
      </c>
    </row>
    <row r="25" spans="1:25" ht="13.5" customHeight="1" thickBot="1">
      <c r="A25" s="40"/>
      <c r="B25" s="37" t="s">
        <v>56</v>
      </c>
      <c r="C25" s="59"/>
      <c r="D25" s="67"/>
      <c r="E25" s="59"/>
      <c r="F25" s="59"/>
      <c r="G25" s="78">
        <f>G8*5%</f>
        <v>5373.812000000001</v>
      </c>
      <c r="H25" s="71">
        <f>H8*5%</f>
        <v>5394.903</v>
      </c>
      <c r="I25" s="80">
        <f>I8*5%</f>
        <v>5383.7480000000005</v>
      </c>
      <c r="J25" s="80">
        <f>J8*5%</f>
        <v>5378.504000000001</v>
      </c>
      <c r="K25" s="80">
        <f>K8*5%</f>
        <v>5372.34</v>
      </c>
      <c r="L25" s="70">
        <f>(L8+L9)*5%</f>
        <v>427.15150000000006</v>
      </c>
      <c r="M25" s="70">
        <f aca="true" t="shared" si="6" ref="M25:W25">(M8+M9)*5%</f>
        <v>427.15150000000006</v>
      </c>
      <c r="N25" s="70">
        <f t="shared" si="6"/>
        <v>427.15150000000006</v>
      </c>
      <c r="O25" s="70">
        <f t="shared" si="6"/>
        <v>427.15150000000006</v>
      </c>
      <c r="P25" s="70">
        <f t="shared" si="6"/>
        <v>427.15150000000006</v>
      </c>
      <c r="Q25" s="70">
        <f t="shared" si="6"/>
        <v>427.15150000000006</v>
      </c>
      <c r="R25" s="70">
        <f t="shared" si="6"/>
        <v>427.308</v>
      </c>
      <c r="S25" s="70">
        <f t="shared" si="6"/>
        <v>427.308</v>
      </c>
      <c r="T25" s="70">
        <f t="shared" si="6"/>
        <v>427.308</v>
      </c>
      <c r="U25" s="70">
        <f t="shared" si="6"/>
        <v>427.308</v>
      </c>
      <c r="V25" s="70">
        <f t="shared" si="6"/>
        <v>427.308</v>
      </c>
      <c r="W25" s="70">
        <f t="shared" si="6"/>
        <v>427.308</v>
      </c>
      <c r="X25" s="71">
        <f t="shared" si="4"/>
        <v>5126.757</v>
      </c>
      <c r="Y25" s="77"/>
    </row>
    <row r="26" spans="1:25" ht="15" customHeight="1" thickBot="1">
      <c r="A26" s="40" t="s">
        <v>38</v>
      </c>
      <c r="B26" s="37" t="s">
        <v>48</v>
      </c>
      <c r="C26" s="59"/>
      <c r="D26" s="67"/>
      <c r="E26" s="59"/>
      <c r="F26" s="59"/>
      <c r="G26" s="67"/>
      <c r="H26" s="59"/>
      <c r="I26" s="59"/>
      <c r="J26" s="71">
        <f aca="true" t="shared" si="7" ref="J26:W26">SUM(J8+J9-J10)-J25</f>
        <v>-14196.664000000004</v>
      </c>
      <c r="K26" s="71">
        <f>SUM(K8+K9-K10)-K25</f>
        <v>-17788.38999999999</v>
      </c>
      <c r="L26" s="72">
        <f t="shared" si="7"/>
        <v>-72.26149999999973</v>
      </c>
      <c r="M26" s="72">
        <f t="shared" si="7"/>
        <v>1212.5885000000017</v>
      </c>
      <c r="N26" s="72">
        <f t="shared" si="7"/>
        <v>-3329.9214999999986</v>
      </c>
      <c r="O26" s="72">
        <f t="shared" si="7"/>
        <v>679.7885000000014</v>
      </c>
      <c r="P26" s="72">
        <f t="shared" si="7"/>
        <v>-4544.0115000000005</v>
      </c>
      <c r="Q26" s="72">
        <f t="shared" si="7"/>
        <v>-14164.331500000002</v>
      </c>
      <c r="R26" s="72">
        <f t="shared" si="7"/>
        <v>-726.1680000000024</v>
      </c>
      <c r="S26" s="72">
        <f t="shared" si="7"/>
        <v>962.5520000000006</v>
      </c>
      <c r="T26" s="72">
        <f t="shared" si="7"/>
        <v>1247.0820000000003</v>
      </c>
      <c r="U26" s="72">
        <f t="shared" si="7"/>
        <v>438.47199999999975</v>
      </c>
      <c r="V26" s="72">
        <f t="shared" si="7"/>
        <v>-3945.1279999999997</v>
      </c>
      <c r="W26" s="72">
        <f t="shared" si="7"/>
        <v>788.2519999999995</v>
      </c>
      <c r="X26" s="71">
        <f t="shared" si="4"/>
        <v>-21453.086999999996</v>
      </c>
      <c r="Y26" s="77"/>
    </row>
    <row r="27" spans="1:25" ht="21.75" customHeight="1" thickBot="1">
      <c r="A27" s="81" t="s">
        <v>39</v>
      </c>
      <c r="B27" s="89" t="s">
        <v>21</v>
      </c>
      <c r="C27" s="89">
        <v>-78121.25</v>
      </c>
      <c r="D27" s="84">
        <f>SUM(D8-D10)</f>
        <v>-35413.47999999997</v>
      </c>
      <c r="E27" s="83">
        <f>SUM(E8-E10)</f>
        <v>-28077.560000000012</v>
      </c>
      <c r="F27" s="83">
        <f>SUM(F8-F10)</f>
        <v>-3122.6699999999983</v>
      </c>
      <c r="G27" s="90">
        <f>SUM(G8-G10)-G25</f>
        <v>-24693.911999999993</v>
      </c>
      <c r="H27" s="91">
        <f>SUM(H8-H10)-H25</f>
        <v>-29739.052999999993</v>
      </c>
      <c r="I27" s="91">
        <f>SUM(I8-I10)-I25</f>
        <v>-1585.6079999999865</v>
      </c>
      <c r="J27" s="91">
        <f>SUM(J8+J9-J10)-J25</f>
        <v>-14196.664000000004</v>
      </c>
      <c r="K27" s="91">
        <f>SUM(K8+K9-K10)-K25</f>
        <v>-17788.38999999999</v>
      </c>
      <c r="L27" s="92">
        <f>SUM(L8+L9-L10)-L25</f>
        <v>-72.26149999999973</v>
      </c>
      <c r="M27" s="93">
        <f>SUM(M26+L27)</f>
        <v>1140.327000000002</v>
      </c>
      <c r="N27" s="93">
        <f aca="true" t="shared" si="8" ref="N27:W27">SUM(N26+M27)</f>
        <v>-2189.5944999999965</v>
      </c>
      <c r="O27" s="93">
        <f t="shared" si="8"/>
        <v>-1509.805999999995</v>
      </c>
      <c r="P27" s="93">
        <f t="shared" si="8"/>
        <v>-6053.817499999996</v>
      </c>
      <c r="Q27" s="93">
        <f t="shared" si="8"/>
        <v>-20218.148999999998</v>
      </c>
      <c r="R27" s="93">
        <f t="shared" si="8"/>
        <v>-20944.317</v>
      </c>
      <c r="S27" s="93">
        <f t="shared" si="8"/>
        <v>-19981.765</v>
      </c>
      <c r="T27" s="93">
        <f t="shared" si="8"/>
        <v>-18734.682999999997</v>
      </c>
      <c r="U27" s="93">
        <f t="shared" si="8"/>
        <v>-18296.210999999996</v>
      </c>
      <c r="V27" s="93">
        <f t="shared" si="8"/>
        <v>-22241.338999999996</v>
      </c>
      <c r="W27" s="93">
        <f t="shared" si="8"/>
        <v>-21453.086999999996</v>
      </c>
      <c r="X27" s="83"/>
      <c r="Y27" s="94"/>
    </row>
    <row r="28" spans="1:25" ht="21" customHeight="1" thickBot="1">
      <c r="A28" s="40" t="s">
        <v>40</v>
      </c>
      <c r="B28" s="36" t="s">
        <v>22</v>
      </c>
      <c r="C28" s="43">
        <v>-78121.25</v>
      </c>
      <c r="D28" s="20">
        <f>SUM(D8-D10,C28)</f>
        <v>-113534.72999999997</v>
      </c>
      <c r="E28" s="56">
        <f>SUM(E8-E10,D28)</f>
        <v>-141612.28999999998</v>
      </c>
      <c r="F28" s="56">
        <f>SUM(F8-F10,E28)</f>
        <v>-144734.95999999996</v>
      </c>
      <c r="G28" s="79">
        <f aca="true" t="shared" si="9" ref="G28:L28">SUM(G27+F28)</f>
        <v>-169428.87199999994</v>
      </c>
      <c r="H28" s="71">
        <f t="shared" si="9"/>
        <v>-199167.92499999993</v>
      </c>
      <c r="I28" s="71">
        <f t="shared" si="9"/>
        <v>-200753.5329999999</v>
      </c>
      <c r="J28" s="71">
        <f t="shared" si="9"/>
        <v>-214950.19699999993</v>
      </c>
      <c r="K28" s="71">
        <f t="shared" si="9"/>
        <v>-232738.5869999999</v>
      </c>
      <c r="L28" s="71">
        <f t="shared" si="9"/>
        <v>-232810.8484999999</v>
      </c>
      <c r="M28" s="71">
        <f aca="true" t="shared" si="10" ref="M28:V28">SUM(M26+L28)</f>
        <v>-231598.2599999999</v>
      </c>
      <c r="N28" s="71">
        <f>SUM(N26+M28)</f>
        <v>-234928.1814999999</v>
      </c>
      <c r="O28" s="71">
        <f>SUM(O26+N28)</f>
        <v>-234248.3929999999</v>
      </c>
      <c r="P28" s="71">
        <f>SUM(P26+O28)</f>
        <v>-238792.4044999999</v>
      </c>
      <c r="Q28" s="56">
        <f t="shared" si="10"/>
        <v>-252956.7359999999</v>
      </c>
      <c r="R28" s="56">
        <f t="shared" si="10"/>
        <v>-253682.9039999999</v>
      </c>
      <c r="S28" s="71">
        <f t="shared" si="10"/>
        <v>-252720.3519999999</v>
      </c>
      <c r="T28" s="71">
        <f t="shared" si="10"/>
        <v>-251473.2699999999</v>
      </c>
      <c r="U28" s="71">
        <f t="shared" si="10"/>
        <v>-251034.7979999999</v>
      </c>
      <c r="V28" s="71">
        <f t="shared" si="10"/>
        <v>-254979.9259999999</v>
      </c>
      <c r="W28" s="71">
        <f>SUM(W26+V28)</f>
        <v>-254191.67399999988</v>
      </c>
      <c r="X28" s="56"/>
      <c r="Y28" s="50"/>
    </row>
    <row r="29" spans="1:25" ht="0.75" customHeight="1" hidden="1" thickBot="1">
      <c r="A29" s="40" t="s">
        <v>40</v>
      </c>
      <c r="B29" s="43" t="s">
        <v>6</v>
      </c>
      <c r="C29" s="43"/>
      <c r="D29" s="43"/>
      <c r="E29" s="60"/>
      <c r="F29" s="60"/>
      <c r="G29" s="60"/>
      <c r="H29" s="60"/>
      <c r="I29" s="60"/>
      <c r="J29" s="60"/>
      <c r="K29" s="60"/>
      <c r="L29" s="13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22"/>
      <c r="X29" s="56"/>
      <c r="Y29" s="52"/>
    </row>
    <row r="30" spans="1:25" ht="15" customHeight="1" hidden="1" thickBot="1">
      <c r="A30" s="40" t="s">
        <v>41</v>
      </c>
      <c r="B30" s="37" t="s">
        <v>23</v>
      </c>
      <c r="C30" s="44"/>
      <c r="D30" s="44"/>
      <c r="E30" s="61"/>
      <c r="F30" s="61"/>
      <c r="G30" s="61"/>
      <c r="H30" s="61"/>
      <c r="I30" s="61"/>
      <c r="J30" s="61"/>
      <c r="K30" s="61"/>
      <c r="L30" s="15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23"/>
      <c r="X30" s="57"/>
      <c r="Y30" s="51"/>
    </row>
    <row r="31" spans="1:25" ht="24" customHeight="1" hidden="1" thickBot="1">
      <c r="A31" s="41" t="s">
        <v>42</v>
      </c>
      <c r="B31" s="38" t="s">
        <v>46</v>
      </c>
      <c r="C31" s="45"/>
      <c r="D31" s="45"/>
      <c r="E31" s="62"/>
      <c r="F31" s="62"/>
      <c r="G31" s="62"/>
      <c r="H31" s="62"/>
      <c r="I31" s="62"/>
      <c r="J31" s="62"/>
      <c r="K31" s="62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8">
        <f>SUM(W27-W29)</f>
        <v>-21453.086999999996</v>
      </c>
      <c r="X31" s="58"/>
      <c r="Y31" s="53"/>
    </row>
    <row r="32" spans="1:25" ht="24" customHeight="1" hidden="1" thickBot="1">
      <c r="A32" s="41" t="s">
        <v>45</v>
      </c>
      <c r="B32" s="38" t="s">
        <v>24</v>
      </c>
      <c r="C32" s="45"/>
      <c r="D32" s="45"/>
      <c r="E32" s="62"/>
      <c r="F32" s="62"/>
      <c r="G32" s="62"/>
      <c r="H32" s="62"/>
      <c r="I32" s="62"/>
      <c r="J32" s="62"/>
      <c r="K32" s="62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8">
        <f>SUM(W28-W29)</f>
        <v>-254191.67399999988</v>
      </c>
      <c r="X32" s="58"/>
      <c r="Y32" s="53"/>
    </row>
    <row r="33" spans="2:25" ht="1.5" customHeight="1" hidden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6"/>
    </row>
    <row r="34" ht="12.75">
      <c r="B34" t="s">
        <v>62</v>
      </c>
    </row>
    <row r="35" ht="3" customHeight="1" hidden="1"/>
    <row r="36" ht="12.75" hidden="1"/>
    <row r="37" ht="12.75" hidden="1"/>
    <row r="42" ht="12.75" customHeight="1"/>
    <row r="43" ht="12.75" customHeight="1"/>
  </sheetData>
  <sheetProtection/>
  <mergeCells count="5">
    <mergeCell ref="B4:Y4"/>
    <mergeCell ref="B5:Y5"/>
    <mergeCell ref="B3:Y3"/>
    <mergeCell ref="B1:N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2020-02-20T07:29:26Z</cp:lastPrinted>
  <dcterms:created xsi:type="dcterms:W3CDTF">2011-06-16T11:06:26Z</dcterms:created>
  <dcterms:modified xsi:type="dcterms:W3CDTF">2020-02-20T07:29:28Z</dcterms:modified>
  <cp:category/>
  <cp:version/>
  <cp:contentType/>
  <cp:contentStatus/>
</cp:coreProperties>
</file>