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<sst xmlns="http://schemas.openxmlformats.org/spreadsheetml/2006/main" count="80" uniqueCount="79">
  <si>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</si>
  <si>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</si>
  <si>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</si>
  <si>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</si>
  <si>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</si>
  <si>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</si>
  <si>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</si>
  <si>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</si>
  <si>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</si>
  <si>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</si>
  <si>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</si>
  <si>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</si>
  <si>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</si>
  <si>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</si>
  <si>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</si>
  <si>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</si>
  <si>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</si>
  <si>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</si>
  <si>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</si>
  <si>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</si>
  <si>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</si>
  <si>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</si>
  <si>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</si>
  <si>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</si>
  <si>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</si>
  <si>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</si>
  <si>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</si>
  <si>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</si>
  <si>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</si>
  <si>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</si>
  <si>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</si>
  <si>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</si>
  <si>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4.6</t>
  </si>
  <si>
    <t>4.7</t>
  </si>
  <si>
    <t>4.8</t>
  </si>
  <si>
    <t>4.10</t>
  </si>
  <si>
    <t>4.11</t>
  </si>
  <si>
    <t>5</t>
  </si>
  <si>
    <t>6</t>
  </si>
  <si>
    <t>7</t>
  </si>
  <si>
    <t>8</t>
  </si>
  <si>
    <t>9</t>
  </si>
  <si>
    <t>за 2009 г</t>
  </si>
  <si>
    <t>за 2010 г</t>
  </si>
  <si>
    <t>10</t>
  </si>
  <si>
    <t>Финансовый результат по дому с начала года</t>
  </si>
  <si>
    <t>по жилому дому г. Унеча ул. Комсомольская  д.19</t>
  </si>
  <si>
    <t>Итого за 2011 г</t>
  </si>
  <si>
    <t>Результат за месяц</t>
  </si>
  <si>
    <t>Итого за 2012 г</t>
  </si>
  <si>
    <t>Благоустройство территории</t>
  </si>
  <si>
    <t xml:space="preserve">Материалы </t>
  </si>
  <si>
    <t>4.12</t>
  </si>
  <si>
    <t>4.14</t>
  </si>
  <si>
    <t>4.15</t>
  </si>
  <si>
    <t>Итого за 2013 г</t>
  </si>
  <si>
    <t>Итого за 2014 г</t>
  </si>
  <si>
    <t>рентабельность 5%</t>
  </si>
  <si>
    <t>Итого за 2015 г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</si>
  <si>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</si>
  <si>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</si>
  <si>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</si>
  <si>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>Проверка вент.каналов</t>
  </si>
  <si>
    <t>4.5</t>
  </si>
  <si>
    <t>Исполнитель  вед. экономист /Викторова Л.С./</t>
  </si>
  <si>
    <t xml:space="preserve">Услуги агентские,охрана труда,отопление, хол.вода, эл.энегрия   </t>
  </si>
  <si>
    <t>Итого за 2016 г</t>
  </si>
  <si>
    <t>Итого за 2017 г</t>
  </si>
  <si>
    <t>Начислено   СОИД</t>
  </si>
  <si>
    <t>Электроэнергия  СОИД</t>
  </si>
  <si>
    <t>Горячая вода СОИД</t>
  </si>
  <si>
    <t>Итого за 2018 г</t>
  </si>
  <si>
    <t>Начислено   нежилые</t>
  </si>
  <si>
    <t>Дератизация</t>
  </si>
  <si>
    <t>Итого за 2019 г</t>
  </si>
  <si>
    <t>Всего за 2009-2019</t>
  </si>
  <si>
    <t>Вывоз ТБО (Утилизация)</t>
  </si>
  <si>
    <t>дом по ул.Комсомольская д. 19 вступил в ООО "Наш дом" с октября 2009 года   тариф 9,2 руб с января 2019 года тариф 8,6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</si>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</sst>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27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41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0" fillId="2" borderId="36" xfId="0" applyFont="1" applyFill="1" applyBorder="1" applyAlignment="1">
      <alignment/>
    </xf>
    <xf numFmtId="2" fontId="21" fillId="0" borderId="26" xfId="0" applyNumberFormat="1" applyFont="1" applyBorder="1" applyAlignment="1">
      <alignment horizontal="right" wrapText="1"/>
    </xf>
    <xf numFmtId="2" fontId="21" fillId="0" borderId="36" xfId="0" applyNumberFormat="1" applyFont="1" applyBorder="1" applyAlignment="1">
      <alignment horizontal="right" wrapText="1"/>
    </xf>
    <xf numFmtId="0" fontId="26" fillId="0" borderId="32" xfId="0" applyFont="1" applyBorder="1" applyAlignment="1">
      <alignment wrapText="1"/>
    </xf>
    <xf numFmtId="0" fontId="21" fillId="0" borderId="42" xfId="0" applyFont="1" applyBorder="1" applyAlignment="1">
      <alignment wrapText="1"/>
    </xf>
    <xf numFmtId="0" fontId="26" fillId="0" borderId="43" xfId="0" applyFont="1" applyBorder="1" applyAlignment="1">
      <alignment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2" fontId="21" fillId="0" borderId="18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0" fontId="26" fillId="0" borderId="38" xfId="0" applyFont="1" applyBorder="1" applyAlignment="1">
      <alignment wrapText="1"/>
    </xf>
    <xf numFmtId="0" fontId="27" fillId="0" borderId="32" xfId="0" applyFont="1" applyBorder="1" applyAlignment="1">
      <alignment/>
    </xf>
    <xf numFmtId="0" fontId="27" fillId="0" borderId="35" xfId="0" applyFont="1" applyBorder="1" applyAlignment="1">
      <alignment/>
    </xf>
    <xf numFmtId="2" fontId="27" fillId="0" borderId="35" xfId="0" applyNumberFormat="1" applyFont="1" applyBorder="1" applyAlignment="1">
      <alignment/>
    </xf>
    <xf numFmtId="2" fontId="21" fillId="0" borderId="36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8" fillId="0" borderId="35" xfId="0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11" xfId="0" applyFont="1" applyBorder="1" applyAlignment="1">
      <alignment/>
    </xf>
    <xf numFmtId="0" fontId="29" fillId="0" borderId="35" xfId="0" applyFont="1" applyBorder="1" applyAlignment="1">
      <alignment/>
    </xf>
    <xf numFmtId="0" fontId="22" fillId="0" borderId="0" xfId="0" applyFont="1" applyAlignment="1">
      <alignment/>
    </xf>
    <xf numFmtId="0" fontId="28" fillId="0" borderId="35" xfId="0" applyFont="1" applyBorder="1" applyAlignment="1">
      <alignment wrapText="1"/>
    </xf>
    <xf numFmtId="0" fontId="28" fillId="0" borderId="23" xfId="0" applyFont="1" applyBorder="1" applyAlignment="1">
      <alignment wrapText="1"/>
    </xf>
    <xf numFmtId="2" fontId="28" fillId="0" borderId="35" xfId="0" applyNumberFormat="1" applyFont="1" applyBorder="1" applyAlignment="1">
      <alignment/>
    </xf>
    <xf numFmtId="2" fontId="28" fillId="0" borderId="11" xfId="0" applyNumberFormat="1" applyFont="1" applyBorder="1" applyAlignment="1">
      <alignment/>
    </xf>
    <xf numFmtId="2" fontId="28" fillId="0" borderId="10" xfId="0" applyNumberFormat="1" applyFont="1" applyBorder="1" applyAlignment="1">
      <alignment/>
    </xf>
    <xf numFmtId="0" fontId="22" fillId="0" borderId="27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zoomScalePageLayoutView="0" workbookViewId="0" topLeftCell="A1">
      <selection activeCell="B2" sqref="B2:Y2"/>
    </sheetView>
  </sheetViews>
  <sheetFormatPr defaultColWidth="9.00390625" defaultRowHeight="12.75"/>
  <cols>
    <col min="1" max="1" width="3.75390625" style="29" customWidth="1"/>
    <col min="2" max="2" width="20.25390625" style="0" customWidth="1"/>
    <col min="3" max="3" width="6.625" style="0" hidden="1" customWidth="1"/>
    <col min="4" max="4" width="7.125" style="0" hidden="1" customWidth="1"/>
    <col min="5" max="5" width="7.625" style="0" hidden="1" customWidth="1"/>
    <col min="6" max="6" width="9.875" style="0" hidden="1" customWidth="1"/>
    <col min="7" max="7" width="9.00390625" style="0" hidden="1" customWidth="1"/>
    <col min="8" max="8" width="10.375" style="0" hidden="1" customWidth="1"/>
    <col min="9" max="10" width="8.875" style="0" hidden="1" customWidth="1"/>
    <col min="11" max="11" width="10.625" style="0" hidden="1" customWidth="1"/>
    <col min="12" max="12" width="9.125" style="0" hidden="1" customWidth="1"/>
    <col min="13" max="13" width="8.75390625" style="0" customWidth="1"/>
    <col min="14" max="14" width="9.25390625" style="0" customWidth="1"/>
    <col min="15" max="16" width="8.25390625" style="0" customWidth="1"/>
    <col min="17" max="17" width="7.875" style="0" customWidth="1"/>
    <col min="18" max="18" width="8.625" style="0" customWidth="1"/>
    <col min="19" max="19" width="9.00390625" style="0" customWidth="1"/>
    <col min="20" max="20" width="8.625" style="0" customWidth="1"/>
    <col min="21" max="23" width="8.75390625" style="0" customWidth="1"/>
    <col min="24" max="25" width="8.625" style="0" customWidth="1"/>
    <col min="26" max="26" width="9.25390625" style="0" customWidth="1"/>
  </cols>
  <sheetData>
    <row r="1" spans="2:31" ht="12.75" customHeight="1">
      <c r="B1" s="99" t="s">
        <v>78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2:31" ht="12.75" customHeight="1">
      <c r="B2" s="99" t="s">
        <v>77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  <c r="Y2" s="100"/>
      <c r="Z2" s="4"/>
      <c r="AA2" s="4"/>
      <c r="AB2" s="4"/>
      <c r="AC2" s="4"/>
      <c r="AD2" s="4"/>
      <c r="AE2" s="4"/>
    </row>
    <row r="3" spans="2:31" ht="12.75" customHeight="1">
      <c r="B3" s="98" t="s">
        <v>0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3"/>
      <c r="AB3" s="3"/>
      <c r="AC3" s="3"/>
      <c r="AD3" s="3"/>
      <c r="AE3" s="3"/>
    </row>
    <row r="4" spans="2:31" ht="15" customHeight="1">
      <c r="B4" s="97" t="s">
        <v>8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2"/>
      <c r="AB4" s="2"/>
      <c r="AC4" s="2"/>
      <c r="AD4" s="2"/>
      <c r="AE4" s="2"/>
    </row>
    <row r="5" spans="2:31" ht="16.5" customHeight="1" thickBot="1">
      <c r="B5" s="97" t="s">
        <v>46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2"/>
      <c r="AB5" s="2"/>
      <c r="AC5" s="2"/>
      <c r="AD5" s="2"/>
      <c r="AE5" s="2"/>
    </row>
    <row r="6" spans="1:31" ht="36.75" customHeight="1" thickBot="1">
      <c r="A6" s="39" t="s">
        <v>25</v>
      </c>
      <c r="B6" s="30" t="s">
        <v>5</v>
      </c>
      <c r="C6" s="42" t="s">
        <v>42</v>
      </c>
      <c r="D6" s="46" t="s">
        <v>43</v>
      </c>
      <c r="E6" s="61" t="s">
        <v>47</v>
      </c>
      <c r="F6" s="61" t="s">
        <v>49</v>
      </c>
      <c r="G6" s="61" t="s">
        <v>55</v>
      </c>
      <c r="H6" s="61" t="s">
        <v>56</v>
      </c>
      <c r="I6" s="61" t="s">
        <v>58</v>
      </c>
      <c r="J6" s="61" t="s">
        <v>66</v>
      </c>
      <c r="K6" s="61" t="s">
        <v>67</v>
      </c>
      <c r="L6" s="61" t="s">
        <v>71</v>
      </c>
      <c r="M6" s="6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17</v>
      </c>
      <c r="V6" s="5" t="s">
        <v>18</v>
      </c>
      <c r="W6" s="5" t="s">
        <v>20</v>
      </c>
      <c r="X6" s="17" t="s">
        <v>19</v>
      </c>
      <c r="Y6" s="61" t="s">
        <v>74</v>
      </c>
      <c r="Z6" s="56" t="s">
        <v>75</v>
      </c>
      <c r="AA6" s="1"/>
      <c r="AB6" s="1"/>
      <c r="AC6" s="1"/>
      <c r="AD6" s="1"/>
      <c r="AE6" s="1"/>
    </row>
    <row r="7" spans="1:26" ht="13.5" thickBot="1">
      <c r="A7" s="40" t="s">
        <v>26</v>
      </c>
      <c r="B7" s="31" t="s">
        <v>1</v>
      </c>
      <c r="C7" s="68">
        <v>23614.56</v>
      </c>
      <c r="D7" s="68">
        <v>94476.64</v>
      </c>
      <c r="E7" s="70">
        <v>99720.64</v>
      </c>
      <c r="F7" s="68">
        <v>105501</v>
      </c>
      <c r="G7" s="68">
        <v>103082.32</v>
      </c>
      <c r="H7" s="79">
        <v>94141.76</v>
      </c>
      <c r="I7" s="68">
        <v>94104.96</v>
      </c>
      <c r="J7" s="68">
        <v>94104.96</v>
      </c>
      <c r="K7" s="68">
        <v>94104.96</v>
      </c>
      <c r="L7" s="68">
        <v>94104.96</v>
      </c>
      <c r="M7" s="7">
        <v>7330.64</v>
      </c>
      <c r="N7" s="7">
        <v>7330.64</v>
      </c>
      <c r="O7" s="7">
        <v>7330.64</v>
      </c>
      <c r="P7" s="7">
        <v>7330.64</v>
      </c>
      <c r="Q7" s="7">
        <v>7330.64</v>
      </c>
      <c r="R7" s="7">
        <v>7330.64</v>
      </c>
      <c r="S7" s="7">
        <v>7330.64</v>
      </c>
      <c r="T7" s="7">
        <v>7330.64</v>
      </c>
      <c r="U7" s="7">
        <v>7330.64</v>
      </c>
      <c r="V7" s="7">
        <v>7330.64</v>
      </c>
      <c r="W7" s="7">
        <v>7330.64</v>
      </c>
      <c r="X7" s="7">
        <v>7330.64</v>
      </c>
      <c r="Y7" s="62">
        <f>SUM(M7:X7)</f>
        <v>87967.68000000001</v>
      </c>
      <c r="Z7" s="80">
        <f>SUM(C7:X7)</f>
        <v>984924.4400000001</v>
      </c>
    </row>
    <row r="8" spans="1:26" ht="13.5" thickBot="1">
      <c r="A8" s="40"/>
      <c r="B8" s="31" t="s">
        <v>68</v>
      </c>
      <c r="C8" s="79"/>
      <c r="D8" s="79"/>
      <c r="E8" s="70"/>
      <c r="F8" s="79"/>
      <c r="G8" s="79"/>
      <c r="H8" s="79"/>
      <c r="I8" s="79"/>
      <c r="J8" s="79">
        <v>0</v>
      </c>
      <c r="K8" s="79">
        <v>11474.77</v>
      </c>
      <c r="L8" s="79">
        <v>9376.03</v>
      </c>
      <c r="M8" s="7">
        <f aca="true" t="shared" si="0" ref="M8:R8">24.4+27.67+113.33</f>
        <v>165.4</v>
      </c>
      <c r="N8" s="7">
        <f t="shared" si="0"/>
        <v>165.4</v>
      </c>
      <c r="O8" s="7">
        <f t="shared" si="0"/>
        <v>165.4</v>
      </c>
      <c r="P8" s="7">
        <f t="shared" si="0"/>
        <v>165.4</v>
      </c>
      <c r="Q8" s="7">
        <f t="shared" si="0"/>
        <v>165.4</v>
      </c>
      <c r="R8" s="7">
        <f t="shared" si="0"/>
        <v>165.4</v>
      </c>
      <c r="S8" s="8">
        <f aca="true" t="shared" si="1" ref="S8:X8">24.84+28.16+115.39</f>
        <v>168.39</v>
      </c>
      <c r="T8" s="8">
        <f t="shared" si="1"/>
        <v>168.39</v>
      </c>
      <c r="U8" s="8">
        <f t="shared" si="1"/>
        <v>168.39</v>
      </c>
      <c r="V8" s="8">
        <f t="shared" si="1"/>
        <v>168.39</v>
      </c>
      <c r="W8" s="8">
        <f t="shared" si="1"/>
        <v>168.39</v>
      </c>
      <c r="X8" s="8">
        <f t="shared" si="1"/>
        <v>168.39</v>
      </c>
      <c r="Y8" s="62">
        <f>SUM(M8:X8)</f>
        <v>2002.7399999999993</v>
      </c>
      <c r="Z8" s="80">
        <f>SUM(C8:X8)</f>
        <v>22853.540000000008</v>
      </c>
    </row>
    <row r="9" spans="1:26" ht="13.5" thickBot="1">
      <c r="A9" s="40"/>
      <c r="B9" s="31" t="s">
        <v>72</v>
      </c>
      <c r="C9" s="79"/>
      <c r="D9" s="79"/>
      <c r="E9" s="70"/>
      <c r="F9" s="79"/>
      <c r="G9" s="79"/>
      <c r="H9" s="79"/>
      <c r="I9" s="79"/>
      <c r="J9" s="79"/>
      <c r="K9" s="79"/>
      <c r="L9" s="79">
        <v>3129.93</v>
      </c>
      <c r="M9" s="7">
        <v>987.09</v>
      </c>
      <c r="N9" s="7">
        <v>987.09</v>
      </c>
      <c r="O9" s="7">
        <v>987.09</v>
      </c>
      <c r="P9" s="7">
        <v>987.09</v>
      </c>
      <c r="Q9" s="7">
        <v>987.09</v>
      </c>
      <c r="R9" s="7">
        <v>987.09</v>
      </c>
      <c r="S9" s="8">
        <v>991.67</v>
      </c>
      <c r="T9" s="8">
        <v>991.67</v>
      </c>
      <c r="U9" s="8">
        <v>991.67</v>
      </c>
      <c r="V9" s="8">
        <v>991.67</v>
      </c>
      <c r="W9" s="8">
        <v>991.67</v>
      </c>
      <c r="X9" s="8">
        <v>991.67</v>
      </c>
      <c r="Y9" s="62">
        <f>SUM(M9:X9)</f>
        <v>11872.56</v>
      </c>
      <c r="Z9" s="80">
        <f>SUM(C9:X9)</f>
        <v>15002.49</v>
      </c>
    </row>
    <row r="10" spans="1:26" s="90" customFormat="1" ht="13.5" thickBot="1">
      <c r="A10" s="84" t="s">
        <v>27</v>
      </c>
      <c r="B10" s="85" t="s">
        <v>2</v>
      </c>
      <c r="C10" s="86">
        <f>SUM(C11:C24)</f>
        <v>16635.170000000002</v>
      </c>
      <c r="D10" s="86">
        <f>SUM(D11:D24)</f>
        <v>89829.12</v>
      </c>
      <c r="E10" s="87">
        <v>99845.75</v>
      </c>
      <c r="F10" s="86">
        <f aca="true" t="shared" si="2" ref="F10:M10">SUM(F11:F24)</f>
        <v>107242.13</v>
      </c>
      <c r="G10" s="86">
        <f t="shared" si="2"/>
        <v>105395.68</v>
      </c>
      <c r="H10" s="86">
        <f t="shared" si="2"/>
        <v>90817.97</v>
      </c>
      <c r="I10" s="86">
        <f t="shared" si="2"/>
        <v>125630.74999999999</v>
      </c>
      <c r="J10" s="86">
        <f t="shared" si="2"/>
        <v>86212.45999999999</v>
      </c>
      <c r="K10" s="86">
        <f>SUM(K11:K24)</f>
        <v>104706.56</v>
      </c>
      <c r="L10" s="86">
        <v>111204.11</v>
      </c>
      <c r="M10" s="88">
        <f t="shared" si="2"/>
        <v>6357.049999999999</v>
      </c>
      <c r="N10" s="88">
        <f aca="true" t="shared" si="3" ref="N10:X10">SUM(N11:N24)</f>
        <v>6184.370000000001</v>
      </c>
      <c r="O10" s="88">
        <f t="shared" si="3"/>
        <v>10081.49</v>
      </c>
      <c r="P10" s="88">
        <f t="shared" si="3"/>
        <v>5360.199999999999</v>
      </c>
      <c r="Q10" s="88">
        <f t="shared" si="3"/>
        <v>8856.29</v>
      </c>
      <c r="R10" s="88">
        <f t="shared" si="3"/>
        <v>10271.6</v>
      </c>
      <c r="S10" s="88">
        <f t="shared" si="3"/>
        <v>7672.719999999999</v>
      </c>
      <c r="T10" s="88">
        <f t="shared" si="3"/>
        <v>6299.97</v>
      </c>
      <c r="U10" s="88">
        <f t="shared" si="3"/>
        <v>4792.77</v>
      </c>
      <c r="V10" s="88">
        <f t="shared" si="3"/>
        <v>6794.92</v>
      </c>
      <c r="W10" s="88">
        <f t="shared" si="3"/>
        <v>5295.09</v>
      </c>
      <c r="X10" s="87">
        <f t="shared" si="3"/>
        <v>6399.02</v>
      </c>
      <c r="Y10" s="86">
        <f>SUM(M10:X10)</f>
        <v>84365.49</v>
      </c>
      <c r="Z10" s="89">
        <f>SUM(C10:X10)</f>
        <v>1021885.1899999998</v>
      </c>
    </row>
    <row r="11" spans="1:26" ht="13.5" thickBot="1">
      <c r="A11" s="40" t="s">
        <v>28</v>
      </c>
      <c r="B11" s="33" t="s">
        <v>76</v>
      </c>
      <c r="C11" s="50">
        <v>4762.36</v>
      </c>
      <c r="D11" s="51">
        <v>21671.53</v>
      </c>
      <c r="E11" s="71">
        <v>21501.31</v>
      </c>
      <c r="F11" s="51">
        <v>22018.67</v>
      </c>
      <c r="G11" s="51">
        <v>23911.75</v>
      </c>
      <c r="H11" s="51">
        <v>28551.24</v>
      </c>
      <c r="I11" s="51">
        <v>25721.19</v>
      </c>
      <c r="J11" s="51">
        <v>25672.67</v>
      </c>
      <c r="K11" s="51">
        <v>23745.69</v>
      </c>
      <c r="L11" s="51">
        <v>21191.92</v>
      </c>
      <c r="M11" s="7"/>
      <c r="N11" s="8"/>
      <c r="O11" s="8"/>
      <c r="P11" s="8">
        <v>47.17</v>
      </c>
      <c r="Q11" s="8">
        <v>36.05</v>
      </c>
      <c r="R11" s="8">
        <v>14.91</v>
      </c>
      <c r="S11" s="8">
        <v>40.33</v>
      </c>
      <c r="T11" s="8">
        <v>29.79</v>
      </c>
      <c r="U11" s="8">
        <v>7.47</v>
      </c>
      <c r="V11" s="8">
        <v>26.69</v>
      </c>
      <c r="W11" s="8">
        <v>22.22</v>
      </c>
      <c r="X11" s="18">
        <v>15.05</v>
      </c>
      <c r="Y11" s="63">
        <f aca="true" t="shared" si="4" ref="Y11:Y26">SUM(M11:X11)</f>
        <v>239.67999999999998</v>
      </c>
      <c r="Z11" s="81">
        <f aca="true" t="shared" si="5" ref="Z11:Z24">SUM(C11:X11)</f>
        <v>218988.00999999995</v>
      </c>
    </row>
    <row r="12" spans="1:26" ht="15" customHeight="1" thickBot="1">
      <c r="A12" s="40" t="s">
        <v>29</v>
      </c>
      <c r="B12" s="34" t="s">
        <v>59</v>
      </c>
      <c r="C12" s="52">
        <v>8570.09</v>
      </c>
      <c r="D12" s="53">
        <v>23424.38</v>
      </c>
      <c r="E12" s="72">
        <v>8612.86</v>
      </c>
      <c r="F12" s="53">
        <f>1627.33+3551.4</f>
        <v>5178.73</v>
      </c>
      <c r="G12" s="53">
        <v>8767.51</v>
      </c>
      <c r="H12" s="53">
        <v>235.3</v>
      </c>
      <c r="I12" s="53">
        <v>4538.77</v>
      </c>
      <c r="J12" s="53">
        <v>67.59</v>
      </c>
      <c r="K12" s="53">
        <v>197.84</v>
      </c>
      <c r="L12" s="53">
        <v>1995</v>
      </c>
      <c r="M12" s="9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9"/>
      <c r="Y12" s="63">
        <f t="shared" si="4"/>
        <v>0</v>
      </c>
      <c r="Z12" s="82">
        <f>SUM(C12:X12)</f>
        <v>61588.06999999999</v>
      </c>
    </row>
    <row r="13" spans="1:26" ht="14.25" customHeight="1" thickBot="1">
      <c r="A13" s="40" t="s">
        <v>30</v>
      </c>
      <c r="B13" s="32" t="s">
        <v>4</v>
      </c>
      <c r="C13" s="52">
        <v>0</v>
      </c>
      <c r="D13" s="53">
        <v>0</v>
      </c>
      <c r="E13" s="72">
        <v>1759.14</v>
      </c>
      <c r="F13" s="53">
        <v>0</v>
      </c>
      <c r="G13" s="53">
        <v>0</v>
      </c>
      <c r="H13" s="53"/>
      <c r="I13" s="53">
        <v>5040.2</v>
      </c>
      <c r="J13" s="53">
        <v>0</v>
      </c>
      <c r="K13" s="53">
        <v>0</v>
      </c>
      <c r="L13" s="53">
        <v>7470.94</v>
      </c>
      <c r="M13" s="9"/>
      <c r="N13" s="10"/>
      <c r="O13" s="10">
        <v>4122.9</v>
      </c>
      <c r="P13" s="10"/>
      <c r="Q13" s="10"/>
      <c r="R13" s="10"/>
      <c r="S13" s="10"/>
      <c r="T13" s="10"/>
      <c r="U13" s="10"/>
      <c r="V13" s="10"/>
      <c r="W13" s="10"/>
      <c r="X13" s="19"/>
      <c r="Y13" s="63">
        <f t="shared" si="4"/>
        <v>4122.9</v>
      </c>
      <c r="Z13" s="81">
        <f t="shared" si="5"/>
        <v>18393.18</v>
      </c>
    </row>
    <row r="14" spans="1:26" ht="14.25" customHeight="1" thickBot="1">
      <c r="A14" s="40" t="s">
        <v>31</v>
      </c>
      <c r="B14" s="34" t="s">
        <v>51</v>
      </c>
      <c r="C14" s="52">
        <v>0</v>
      </c>
      <c r="D14" s="53">
        <v>9099.78</v>
      </c>
      <c r="E14" s="72">
        <v>8081.49</v>
      </c>
      <c r="F14" s="53">
        <v>16671.94</v>
      </c>
      <c r="G14" s="53">
        <v>9884.3</v>
      </c>
      <c r="H14" s="53">
        <v>899.92</v>
      </c>
      <c r="I14" s="53">
        <v>15419.66</v>
      </c>
      <c r="J14" s="53">
        <v>2563.4</v>
      </c>
      <c r="K14" s="53">
        <v>11894.9</v>
      </c>
      <c r="L14" s="53">
        <v>9094.36</v>
      </c>
      <c r="M14" s="9"/>
      <c r="N14" s="10">
        <v>168</v>
      </c>
      <c r="O14" s="10">
        <v>45</v>
      </c>
      <c r="P14" s="10"/>
      <c r="Q14" s="10">
        <v>2748.98</v>
      </c>
      <c r="R14" s="10">
        <v>5261.3</v>
      </c>
      <c r="S14" s="10">
        <v>647.15</v>
      </c>
      <c r="T14" s="10">
        <v>385</v>
      </c>
      <c r="U14" s="10"/>
      <c r="V14" s="10">
        <v>65</v>
      </c>
      <c r="W14" s="10">
        <v>150</v>
      </c>
      <c r="X14" s="19">
        <v>60</v>
      </c>
      <c r="Y14" s="63">
        <f t="shared" si="4"/>
        <v>9530.43</v>
      </c>
      <c r="Z14" s="81">
        <f t="shared" si="5"/>
        <v>93140.18</v>
      </c>
    </row>
    <row r="15" spans="1:26" ht="14.25" customHeight="1" thickBot="1">
      <c r="A15" s="40" t="s">
        <v>63</v>
      </c>
      <c r="B15" s="34" t="s">
        <v>62</v>
      </c>
      <c r="C15" s="52"/>
      <c r="D15" s="53"/>
      <c r="E15" s="72"/>
      <c r="F15" s="53"/>
      <c r="G15" s="53"/>
      <c r="H15" s="53"/>
      <c r="I15" s="53">
        <v>800</v>
      </c>
      <c r="J15" s="53">
        <v>500</v>
      </c>
      <c r="K15" s="53">
        <v>0</v>
      </c>
      <c r="L15" s="53">
        <v>800</v>
      </c>
      <c r="M15" s="9"/>
      <c r="N15" s="10"/>
      <c r="O15" s="10"/>
      <c r="P15" s="10"/>
      <c r="Q15" s="10"/>
      <c r="R15" s="10"/>
      <c r="S15" s="10">
        <v>900</v>
      </c>
      <c r="T15" s="10"/>
      <c r="U15" s="10"/>
      <c r="V15" s="10"/>
      <c r="W15" s="10"/>
      <c r="X15" s="19"/>
      <c r="Y15" s="63">
        <f>SUM(M15:X15)</f>
        <v>900</v>
      </c>
      <c r="Z15" s="81">
        <f>SUM(C15:X15)</f>
        <v>3000</v>
      </c>
    </row>
    <row r="16" spans="1:26" ht="24" customHeight="1" thickBot="1">
      <c r="A16" s="40" t="s">
        <v>32</v>
      </c>
      <c r="B16" s="34" t="s">
        <v>50</v>
      </c>
      <c r="C16" s="52">
        <v>0</v>
      </c>
      <c r="D16" s="53">
        <v>0</v>
      </c>
      <c r="E16" s="72">
        <v>0</v>
      </c>
      <c r="F16" s="53">
        <v>256</v>
      </c>
      <c r="G16" s="53">
        <v>0</v>
      </c>
      <c r="H16" s="53">
        <v>668.33</v>
      </c>
      <c r="I16" s="53">
        <v>7833.36</v>
      </c>
      <c r="J16" s="53">
        <v>186</v>
      </c>
      <c r="K16" s="53">
        <v>73.08</v>
      </c>
      <c r="L16" s="53">
        <v>78</v>
      </c>
      <c r="M16" s="9">
        <v>76.28</v>
      </c>
      <c r="N16" s="10">
        <v>38</v>
      </c>
      <c r="O16" s="10"/>
      <c r="P16" s="10"/>
      <c r="Q16" s="10"/>
      <c r="R16" s="10"/>
      <c r="S16" s="10"/>
      <c r="T16" s="10"/>
      <c r="U16" s="10"/>
      <c r="V16" s="10"/>
      <c r="W16" s="10"/>
      <c r="X16" s="19"/>
      <c r="Y16" s="63">
        <f>SUM(M16:X16)</f>
        <v>114.28</v>
      </c>
      <c r="Z16" s="81">
        <f>SUM(C16:X16)</f>
        <v>9209.050000000001</v>
      </c>
    </row>
    <row r="17" spans="1:26" ht="13.5" customHeight="1" thickBot="1">
      <c r="A17" s="40" t="s">
        <v>33</v>
      </c>
      <c r="B17" s="34" t="s">
        <v>69</v>
      </c>
      <c r="C17" s="52">
        <v>2069.6</v>
      </c>
      <c r="D17" s="53">
        <v>7419.86</v>
      </c>
      <c r="E17" s="72">
        <v>5058.34</v>
      </c>
      <c r="F17" s="53">
        <v>4353.73</v>
      </c>
      <c r="G17" s="53">
        <v>0</v>
      </c>
      <c r="H17" s="53"/>
      <c r="I17" s="53">
        <v>0</v>
      </c>
      <c r="J17" s="53">
        <v>0</v>
      </c>
      <c r="K17" s="53">
        <v>9545.29</v>
      </c>
      <c r="L17" s="53">
        <v>7440.25</v>
      </c>
      <c r="M17" s="9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9"/>
      <c r="Y17" s="63">
        <f t="shared" si="4"/>
        <v>0</v>
      </c>
      <c r="Z17" s="81">
        <f t="shared" si="5"/>
        <v>35887.07</v>
      </c>
    </row>
    <row r="18" spans="1:26" ht="13.5" customHeight="1" thickBot="1">
      <c r="A18" s="40"/>
      <c r="B18" s="34" t="s">
        <v>70</v>
      </c>
      <c r="C18" s="52"/>
      <c r="D18" s="53"/>
      <c r="E18" s="72"/>
      <c r="F18" s="53"/>
      <c r="G18" s="53"/>
      <c r="H18" s="53"/>
      <c r="I18" s="53"/>
      <c r="J18" s="53"/>
      <c r="K18" s="53">
        <v>1613.05</v>
      </c>
      <c r="L18" s="53">
        <v>1398.39</v>
      </c>
      <c r="M18" s="9">
        <v>126.3</v>
      </c>
      <c r="N18" s="10">
        <v>126.3</v>
      </c>
      <c r="O18" s="10">
        <v>126.3</v>
      </c>
      <c r="P18" s="10">
        <v>126.3</v>
      </c>
      <c r="Q18" s="10">
        <v>126.3</v>
      </c>
      <c r="R18" s="10">
        <v>126.3</v>
      </c>
      <c r="S18" s="10">
        <v>58.72</v>
      </c>
      <c r="T18" s="10">
        <v>124.02</v>
      </c>
      <c r="U18" s="10">
        <v>128.6</v>
      </c>
      <c r="V18" s="10">
        <v>128.6</v>
      </c>
      <c r="W18" s="10">
        <v>128.6</v>
      </c>
      <c r="X18" s="10">
        <v>128.6</v>
      </c>
      <c r="Y18" s="63">
        <f>SUM(M18:X18)</f>
        <v>1454.9399999999996</v>
      </c>
      <c r="Z18" s="81">
        <f>SUM(C18:X18)</f>
        <v>4466.380000000002</v>
      </c>
    </row>
    <row r="19" spans="1:26" ht="12.75" customHeight="1" thickBot="1">
      <c r="A19" s="40" t="s">
        <v>34</v>
      </c>
      <c r="B19" s="34" t="s">
        <v>73</v>
      </c>
      <c r="C19" s="52">
        <v>111.6</v>
      </c>
      <c r="D19" s="53">
        <v>1033.09</v>
      </c>
      <c r="E19" s="72">
        <v>499.3</v>
      </c>
      <c r="F19" s="53">
        <v>425.98</v>
      </c>
      <c r="G19" s="53">
        <v>307.62</v>
      </c>
      <c r="H19" s="53">
        <v>307.62</v>
      </c>
      <c r="I19" s="53">
        <v>250.82</v>
      </c>
      <c r="J19" s="53">
        <v>0</v>
      </c>
      <c r="K19" s="53">
        <v>0</v>
      </c>
      <c r="L19" s="53">
        <v>0</v>
      </c>
      <c r="M19" s="9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9"/>
      <c r="Y19" s="63">
        <f t="shared" si="4"/>
        <v>0</v>
      </c>
      <c r="Z19" s="81">
        <f t="shared" si="5"/>
        <v>2936.0299999999997</v>
      </c>
    </row>
    <row r="20" spans="1:26" ht="32.25" customHeight="1" thickBot="1">
      <c r="A20" s="40" t="s">
        <v>35</v>
      </c>
      <c r="B20" s="34" t="s">
        <v>60</v>
      </c>
      <c r="C20" s="52">
        <v>0</v>
      </c>
      <c r="D20" s="53">
        <v>1165.81</v>
      </c>
      <c r="E20" s="72">
        <v>4153.5</v>
      </c>
      <c r="F20" s="53">
        <v>5967.76</v>
      </c>
      <c r="G20" s="53">
        <v>5418.27</v>
      </c>
      <c r="H20" s="53">
        <v>3474.6</v>
      </c>
      <c r="I20" s="53">
        <v>4096.63</v>
      </c>
      <c r="J20" s="53">
        <v>4332.06</v>
      </c>
      <c r="K20" s="53">
        <v>4401.21</v>
      </c>
      <c r="L20" s="53">
        <v>4625.07</v>
      </c>
      <c r="M20" s="9">
        <v>372.55</v>
      </c>
      <c r="N20" s="10">
        <v>390.52</v>
      </c>
      <c r="O20" s="10">
        <v>310.07</v>
      </c>
      <c r="P20" s="10">
        <v>371.36</v>
      </c>
      <c r="Q20" s="10">
        <v>308.93</v>
      </c>
      <c r="R20" s="10">
        <v>236.87</v>
      </c>
      <c r="S20" s="10">
        <v>247.57</v>
      </c>
      <c r="T20" s="10">
        <v>209.84</v>
      </c>
      <c r="U20" s="10">
        <v>235.94</v>
      </c>
      <c r="V20" s="10">
        <v>488.59</v>
      </c>
      <c r="W20" s="10">
        <v>308.95</v>
      </c>
      <c r="X20" s="19">
        <v>262.85</v>
      </c>
      <c r="Y20" s="63">
        <f t="shared" si="4"/>
        <v>3744.0400000000004</v>
      </c>
      <c r="Z20" s="81">
        <f t="shared" si="5"/>
        <v>41378.95</v>
      </c>
    </row>
    <row r="21" spans="1:26" ht="24" customHeight="1" thickBot="1">
      <c r="A21" s="40" t="s">
        <v>36</v>
      </c>
      <c r="B21" s="34" t="s">
        <v>61</v>
      </c>
      <c r="C21" s="52">
        <v>441.57</v>
      </c>
      <c r="D21" s="53">
        <v>2029.39</v>
      </c>
      <c r="E21" s="72">
        <v>2331.66</v>
      </c>
      <c r="F21" s="53">
        <v>677.19</v>
      </c>
      <c r="G21" s="53">
        <v>480.77</v>
      </c>
      <c r="H21" s="53">
        <v>1045.24</v>
      </c>
      <c r="I21" s="53">
        <v>706.01</v>
      </c>
      <c r="J21" s="53">
        <v>616.28</v>
      </c>
      <c r="K21" s="53">
        <v>481.43</v>
      </c>
      <c r="L21" s="53">
        <v>466.56</v>
      </c>
      <c r="M21" s="9">
        <v>29.48</v>
      </c>
      <c r="N21" s="10">
        <v>25.41</v>
      </c>
      <c r="O21" s="10">
        <v>22.15</v>
      </c>
      <c r="P21" s="10">
        <v>25.77</v>
      </c>
      <c r="Q21" s="10">
        <v>2.72</v>
      </c>
      <c r="R21" s="10">
        <v>36.62</v>
      </c>
      <c r="S21" s="10">
        <v>43.32</v>
      </c>
      <c r="T21" s="10">
        <v>50.45</v>
      </c>
      <c r="U21" s="10">
        <v>74.99</v>
      </c>
      <c r="V21" s="10">
        <v>18.54</v>
      </c>
      <c r="W21" s="10">
        <v>68.43</v>
      </c>
      <c r="X21" s="19">
        <v>24.08</v>
      </c>
      <c r="Y21" s="63">
        <f t="shared" si="4"/>
        <v>421.96</v>
      </c>
      <c r="Z21" s="81">
        <f t="shared" si="5"/>
        <v>9698.060000000001</v>
      </c>
    </row>
    <row r="22" spans="1:26" ht="32.25" customHeight="1" thickBot="1">
      <c r="A22" s="40" t="s">
        <v>52</v>
      </c>
      <c r="B22" s="34" t="s">
        <v>65</v>
      </c>
      <c r="C22" s="52">
        <v>0</v>
      </c>
      <c r="D22" s="53">
        <v>1697.08</v>
      </c>
      <c r="E22" s="72">
        <v>3714.08</v>
      </c>
      <c r="F22" s="53">
        <v>3519.75</v>
      </c>
      <c r="G22" s="53">
        <v>4716.29</v>
      </c>
      <c r="H22" s="53">
        <v>4052.85</v>
      </c>
      <c r="I22" s="53">
        <v>5288.6</v>
      </c>
      <c r="J22" s="53">
        <v>4329.34</v>
      </c>
      <c r="K22" s="53">
        <v>4748.15</v>
      </c>
      <c r="L22" s="53">
        <v>5201.24</v>
      </c>
      <c r="M22" s="9">
        <f>18.4+178.27+219.58</f>
        <v>416.25</v>
      </c>
      <c r="N22" s="10">
        <f>17.34+248.38+212.86</f>
        <v>478.58</v>
      </c>
      <c r="O22" s="10">
        <f>222+15.08+165.6</f>
        <v>402.68</v>
      </c>
      <c r="P22" s="10">
        <f>16.13+183.09+588.28</f>
        <v>787.5</v>
      </c>
      <c r="Q22" s="10">
        <f>15.74+202.16+159.44</f>
        <v>377.34000000000003</v>
      </c>
      <c r="R22" s="10">
        <f>18.3+140.7+282.31</f>
        <v>441.31</v>
      </c>
      <c r="S22" s="10">
        <f>17.59+238.31+128.57</f>
        <v>384.47</v>
      </c>
      <c r="T22" s="10">
        <f>16.12+146.49+204.96</f>
        <v>367.57000000000005</v>
      </c>
      <c r="U22" s="10">
        <f>11.73+130.28+186.63</f>
        <v>328.64</v>
      </c>
      <c r="V22" s="10">
        <f>11.89+208.7+530.3</f>
        <v>750.8899999999999</v>
      </c>
      <c r="W22" s="10">
        <f>13.14+131.23+136.58</f>
        <v>280.95000000000005</v>
      </c>
      <c r="X22" s="19">
        <f>13.11+396.89+229.25</f>
        <v>639.25</v>
      </c>
      <c r="Y22" s="63">
        <f t="shared" si="4"/>
        <v>5655.429999999999</v>
      </c>
      <c r="Z22" s="81">
        <f t="shared" si="5"/>
        <v>42922.80999999999</v>
      </c>
    </row>
    <row r="23" spans="1:26" ht="15.75" customHeight="1" thickBot="1">
      <c r="A23" s="40" t="s">
        <v>53</v>
      </c>
      <c r="B23" s="34" t="s">
        <v>7</v>
      </c>
      <c r="C23" s="52">
        <v>423.37</v>
      </c>
      <c r="D23" s="53">
        <v>18866.27</v>
      </c>
      <c r="E23" s="72">
        <v>35017.82</v>
      </c>
      <c r="F23" s="53">
        <v>44210.63</v>
      </c>
      <c r="G23" s="53">
        <v>48286.48</v>
      </c>
      <c r="H23" s="53">
        <v>47682.32</v>
      </c>
      <c r="I23" s="53">
        <v>52383.39</v>
      </c>
      <c r="J23" s="53">
        <v>44503.22</v>
      </c>
      <c r="K23" s="53">
        <v>44197.86</v>
      </c>
      <c r="L23" s="53">
        <v>47682.71</v>
      </c>
      <c r="M23" s="9">
        <f>6357.05-1320.38</f>
        <v>5036.67</v>
      </c>
      <c r="N23" s="10">
        <f>6184.37-1471.33</f>
        <v>4713.04</v>
      </c>
      <c r="O23" s="10">
        <f>10081.49-5339.16</f>
        <v>4742.33</v>
      </c>
      <c r="P23" s="10">
        <f>5360.2-1595.84</f>
        <v>3764.3599999999997</v>
      </c>
      <c r="Q23" s="10">
        <f>8856.29-3856.92</f>
        <v>4999.370000000001</v>
      </c>
      <c r="R23" s="10">
        <f>10271.6-6380.07</f>
        <v>3891.5300000000007</v>
      </c>
      <c r="S23" s="10">
        <f>7672.72-2588.04</f>
        <v>5084.68</v>
      </c>
      <c r="T23" s="10">
        <f>6299.97-1410</f>
        <v>4889.97</v>
      </c>
      <c r="U23" s="10">
        <f>4792.77-1045.72</f>
        <v>3747.05</v>
      </c>
      <c r="V23" s="10">
        <f>6794.92-1740.4</f>
        <v>5054.52</v>
      </c>
      <c r="W23" s="10">
        <f>5295.09-1224.4</f>
        <v>4070.69</v>
      </c>
      <c r="X23" s="19">
        <f>6399.02-1373.16</f>
        <v>5025.860000000001</v>
      </c>
      <c r="Y23" s="63">
        <f t="shared" si="4"/>
        <v>55020.07000000001</v>
      </c>
      <c r="Z23" s="81">
        <f t="shared" si="5"/>
        <v>438274.13999999996</v>
      </c>
    </row>
    <row r="24" spans="1:26" ht="13.5" customHeight="1" thickBot="1">
      <c r="A24" s="40" t="s">
        <v>54</v>
      </c>
      <c r="B24" s="35" t="s">
        <v>3</v>
      </c>
      <c r="C24" s="54">
        <v>256.58</v>
      </c>
      <c r="D24" s="55">
        <v>3421.93</v>
      </c>
      <c r="E24" s="73">
        <v>6116.24</v>
      </c>
      <c r="F24" s="55">
        <v>3961.75</v>
      </c>
      <c r="G24" s="55">
        <v>3622.69</v>
      </c>
      <c r="H24" s="55">
        <v>3900.55</v>
      </c>
      <c r="I24" s="55">
        <v>3552.12</v>
      </c>
      <c r="J24" s="55">
        <v>3441.9</v>
      </c>
      <c r="K24" s="55">
        <v>3808.06</v>
      </c>
      <c r="L24" s="55">
        <v>3459.67</v>
      </c>
      <c r="M24" s="11">
        <f>6.15+293.37</f>
        <v>299.52</v>
      </c>
      <c r="N24" s="12">
        <f>5.4+239.12</f>
        <v>244.52</v>
      </c>
      <c r="O24" s="12">
        <f>6.8+303.26</f>
        <v>310.06</v>
      </c>
      <c r="P24" s="12">
        <f>5.58+232.16</f>
        <v>237.74</v>
      </c>
      <c r="Q24" s="12">
        <f>5.66+250.94</f>
        <v>256.6</v>
      </c>
      <c r="R24" s="12">
        <f>5.8+256.96</f>
        <v>262.76</v>
      </c>
      <c r="S24" s="12">
        <f>5.88+260.6</f>
        <v>266.48</v>
      </c>
      <c r="T24" s="12">
        <f>5.46+237.87</f>
        <v>243.33</v>
      </c>
      <c r="U24" s="12">
        <f>6.06+264.02</f>
        <v>270.08</v>
      </c>
      <c r="V24" s="12">
        <f>5.88+256.21</f>
        <v>262.09</v>
      </c>
      <c r="W24" s="12">
        <f>5.96+259.29</f>
        <v>265.25</v>
      </c>
      <c r="X24" s="21">
        <f>5.46+237.87</f>
        <v>243.33</v>
      </c>
      <c r="Y24" s="63">
        <f t="shared" si="4"/>
        <v>3161.76</v>
      </c>
      <c r="Z24" s="81">
        <f t="shared" si="5"/>
        <v>38703.24999999999</v>
      </c>
    </row>
    <row r="25" spans="1:26" ht="13.5" customHeight="1" thickBot="1">
      <c r="A25" s="40"/>
      <c r="B25" s="37" t="s">
        <v>57</v>
      </c>
      <c r="C25" s="66"/>
      <c r="D25" s="67"/>
      <c r="E25" s="74"/>
      <c r="F25" s="67"/>
      <c r="G25" s="67"/>
      <c r="H25" s="76">
        <f>H7*5%</f>
        <v>4707.088</v>
      </c>
      <c r="I25" s="76">
        <f>I7*5%</f>
        <v>4705.2480000000005</v>
      </c>
      <c r="J25" s="83">
        <f>J7*5%</f>
        <v>4705.2480000000005</v>
      </c>
      <c r="K25" s="83">
        <f>K7*5%</f>
        <v>4705.2480000000005</v>
      </c>
      <c r="L25" s="83">
        <f>L7*5%</f>
        <v>4705.2480000000005</v>
      </c>
      <c r="M25" s="75">
        <f>(M7+M8+M9)*5%</f>
        <v>424.1565</v>
      </c>
      <c r="N25" s="75">
        <f aca="true" t="shared" si="6" ref="N25:X25">(N7+N8+N9)*5%</f>
        <v>424.1565</v>
      </c>
      <c r="O25" s="75">
        <f t="shared" si="6"/>
        <v>424.1565</v>
      </c>
      <c r="P25" s="75">
        <f t="shared" si="6"/>
        <v>424.1565</v>
      </c>
      <c r="Q25" s="75">
        <f t="shared" si="6"/>
        <v>424.1565</v>
      </c>
      <c r="R25" s="75">
        <f t="shared" si="6"/>
        <v>424.1565</v>
      </c>
      <c r="S25" s="75">
        <f t="shared" si="6"/>
        <v>424.5350000000001</v>
      </c>
      <c r="T25" s="75">
        <f t="shared" si="6"/>
        <v>424.5350000000001</v>
      </c>
      <c r="U25" s="75">
        <f t="shared" si="6"/>
        <v>424.5350000000001</v>
      </c>
      <c r="V25" s="75">
        <f t="shared" si="6"/>
        <v>424.5350000000001</v>
      </c>
      <c r="W25" s="75">
        <f t="shared" si="6"/>
        <v>424.5350000000001</v>
      </c>
      <c r="X25" s="75">
        <f t="shared" si="6"/>
        <v>424.5350000000001</v>
      </c>
      <c r="Y25" s="76">
        <f t="shared" si="4"/>
        <v>5092.148999999999</v>
      </c>
      <c r="Z25" s="57"/>
    </row>
    <row r="26" spans="1:26" ht="13.5" customHeight="1" thickBot="1">
      <c r="A26" s="40" t="s">
        <v>37</v>
      </c>
      <c r="B26" s="37" t="s">
        <v>48</v>
      </c>
      <c r="C26" s="66"/>
      <c r="D26" s="67"/>
      <c r="E26" s="74"/>
      <c r="F26" s="67"/>
      <c r="G26" s="67"/>
      <c r="H26" s="67"/>
      <c r="I26" s="67"/>
      <c r="J26" s="67"/>
      <c r="K26" s="76">
        <f>SUM(K7+K8-K10)-K25</f>
        <v>-3832.0779999999877</v>
      </c>
      <c r="L26" s="76">
        <v>-9298.44</v>
      </c>
      <c r="M26" s="77">
        <f>SUM(M7+M8+M9-M10)-M25</f>
        <v>1701.9234999999999</v>
      </c>
      <c r="N26" s="77">
        <f>SUM(N7+N8+N9-N10)-N25</f>
        <v>1874.6034999999983</v>
      </c>
      <c r="O26" s="77">
        <f aca="true" t="shared" si="7" ref="O26:X26">SUM(O7+O8+O9-O10)-O25</f>
        <v>-2022.5165000000006</v>
      </c>
      <c r="P26" s="77">
        <f t="shared" si="7"/>
        <v>2698.7735000000002</v>
      </c>
      <c r="Q26" s="77">
        <f t="shared" si="7"/>
        <v>-797.3165000000017</v>
      </c>
      <c r="R26" s="77">
        <f t="shared" si="7"/>
        <v>-2212.626500000001</v>
      </c>
      <c r="S26" s="77">
        <f t="shared" si="7"/>
        <v>393.4450000000013</v>
      </c>
      <c r="T26" s="77">
        <f t="shared" si="7"/>
        <v>1766.1950000000004</v>
      </c>
      <c r="U26" s="77">
        <f t="shared" si="7"/>
        <v>3273.3950000000004</v>
      </c>
      <c r="V26" s="77">
        <f t="shared" si="7"/>
        <v>1271.2450000000006</v>
      </c>
      <c r="W26" s="77">
        <f t="shared" si="7"/>
        <v>2771.0750000000007</v>
      </c>
      <c r="X26" s="77">
        <f t="shared" si="7"/>
        <v>1667.1450000000002</v>
      </c>
      <c r="Y26" s="76">
        <f t="shared" si="4"/>
        <v>12385.340999999999</v>
      </c>
      <c r="Z26" s="57"/>
    </row>
    <row r="27" spans="1:26" ht="22.5" customHeight="1" thickBot="1">
      <c r="A27" s="84" t="s">
        <v>38</v>
      </c>
      <c r="B27" s="91" t="s">
        <v>21</v>
      </c>
      <c r="C27" s="92">
        <v>6979.39</v>
      </c>
      <c r="D27" s="91">
        <v>7680.58</v>
      </c>
      <c r="E27" s="87">
        <f>SUM(E7-E10)</f>
        <v>-125.11000000000058</v>
      </c>
      <c r="F27" s="86">
        <f>SUM(F7-F10)</f>
        <v>-1741.1300000000047</v>
      </c>
      <c r="G27" s="86">
        <f>SUM(G7-G10)</f>
        <v>-2313.359999999986</v>
      </c>
      <c r="H27" s="93">
        <f>SUM(H7-H10)-H25</f>
        <v>-1383.2980000000061</v>
      </c>
      <c r="I27" s="93">
        <f>SUM(I7-I10)-I25</f>
        <v>-36231.03799999998</v>
      </c>
      <c r="J27" s="93">
        <f>SUM(J7-J10)-J25</f>
        <v>3187.252000000014</v>
      </c>
      <c r="K27" s="93">
        <f>SUM(K7+K8-K10)-K25</f>
        <v>-3832.0779999999877</v>
      </c>
      <c r="L27" s="76">
        <v>-9298.44</v>
      </c>
      <c r="M27" s="94">
        <f>SUM(M7+M8+M9-M10)-M25</f>
        <v>1701.9234999999999</v>
      </c>
      <c r="N27" s="95">
        <f>SUM(N26+M27)</f>
        <v>3576.526999999998</v>
      </c>
      <c r="O27" s="95">
        <f aca="true" t="shared" si="8" ref="O27:X27">SUM(O26+N27)</f>
        <v>1554.0104999999976</v>
      </c>
      <c r="P27" s="95">
        <f t="shared" si="8"/>
        <v>4252.783999999998</v>
      </c>
      <c r="Q27" s="95">
        <f>SUM(Q26+P27)</f>
        <v>3455.467499999996</v>
      </c>
      <c r="R27" s="95">
        <f t="shared" si="8"/>
        <v>1242.840999999995</v>
      </c>
      <c r="S27" s="95">
        <f t="shared" si="8"/>
        <v>1636.2859999999962</v>
      </c>
      <c r="T27" s="95">
        <f t="shared" si="8"/>
        <v>3402.4809999999966</v>
      </c>
      <c r="U27" s="95">
        <f t="shared" si="8"/>
        <v>6675.875999999997</v>
      </c>
      <c r="V27" s="95">
        <f t="shared" si="8"/>
        <v>7947.120999999997</v>
      </c>
      <c r="W27" s="95">
        <f t="shared" si="8"/>
        <v>10718.195999999998</v>
      </c>
      <c r="X27" s="95">
        <f t="shared" si="8"/>
        <v>12385.340999999999</v>
      </c>
      <c r="Y27" s="86"/>
      <c r="Z27" s="96"/>
    </row>
    <row r="28" spans="1:26" ht="22.5" customHeight="1" thickBot="1">
      <c r="A28" s="40" t="s">
        <v>39</v>
      </c>
      <c r="B28" s="36" t="s">
        <v>22</v>
      </c>
      <c r="C28" s="69">
        <v>6979.39</v>
      </c>
      <c r="D28" s="47">
        <v>14659.98</v>
      </c>
      <c r="E28" s="20">
        <f>SUM(E7-E10,D28)</f>
        <v>14534.869999999999</v>
      </c>
      <c r="F28" s="63">
        <f>SUM(F7-F10,E28)</f>
        <v>12793.739999999994</v>
      </c>
      <c r="G28" s="63">
        <f>SUM(G7-G10,F28)</f>
        <v>10480.380000000008</v>
      </c>
      <c r="H28" s="78">
        <f>SUM(H27+G28)</f>
        <v>9097.082000000002</v>
      </c>
      <c r="I28" s="78">
        <f>SUM(I27+H28)</f>
        <v>-27133.955999999976</v>
      </c>
      <c r="J28" s="76">
        <f>SUM(J27+I28)</f>
        <v>-23946.70399999996</v>
      </c>
      <c r="K28" s="76">
        <f>SUM(K27+J28)+0.07</f>
        <v>-27778.71199999995</v>
      </c>
      <c r="L28" s="76">
        <f>SUM(L27+K28)</f>
        <v>-37077.15199999995</v>
      </c>
      <c r="M28" s="76">
        <f>SUM(M27+L28)</f>
        <v>-35375.228499999954</v>
      </c>
      <c r="N28" s="77">
        <f>SUM(N26+M28)</f>
        <v>-33500.624999999956</v>
      </c>
      <c r="O28" s="77">
        <f aca="true" t="shared" si="9" ref="O28:W28">SUM(O26+N28)</f>
        <v>-35523.141499999954</v>
      </c>
      <c r="P28" s="77">
        <f t="shared" si="9"/>
        <v>-32824.36799999995</v>
      </c>
      <c r="Q28" s="77">
        <f t="shared" si="9"/>
        <v>-33621.68449999995</v>
      </c>
      <c r="R28" s="77">
        <f t="shared" si="9"/>
        <v>-35834.31099999995</v>
      </c>
      <c r="S28" s="77">
        <f t="shared" si="9"/>
        <v>-35440.86599999995</v>
      </c>
      <c r="T28" s="77">
        <f t="shared" si="9"/>
        <v>-33674.67099999995</v>
      </c>
      <c r="U28" s="77">
        <f t="shared" si="9"/>
        <v>-30401.27599999995</v>
      </c>
      <c r="V28" s="77">
        <f t="shared" si="9"/>
        <v>-29130.03099999995</v>
      </c>
      <c r="W28" s="77">
        <f t="shared" si="9"/>
        <v>-26358.95599999995</v>
      </c>
      <c r="X28" s="77">
        <f>SUM(X26+W28)</f>
        <v>-24691.81099999995</v>
      </c>
      <c r="Y28" s="63"/>
      <c r="Z28" s="57"/>
    </row>
    <row r="29" spans="1:26" ht="9.75" customHeight="1" hidden="1" thickBot="1">
      <c r="A29" s="40" t="s">
        <v>39</v>
      </c>
      <c r="B29" s="47" t="s">
        <v>6</v>
      </c>
      <c r="C29" s="43"/>
      <c r="D29" s="47"/>
      <c r="E29" s="47"/>
      <c r="F29" s="43"/>
      <c r="G29" s="43"/>
      <c r="H29" s="43"/>
      <c r="I29" s="43"/>
      <c r="J29" s="43"/>
      <c r="K29" s="43"/>
      <c r="L29" s="43"/>
      <c r="M29" s="13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22"/>
      <c r="Y29" s="63"/>
      <c r="Z29" s="59"/>
    </row>
    <row r="30" spans="1:26" ht="15" customHeight="1" hidden="1" thickBot="1">
      <c r="A30" s="40" t="s">
        <v>40</v>
      </c>
      <c r="B30" s="37" t="s">
        <v>23</v>
      </c>
      <c r="C30" s="44"/>
      <c r="D30" s="48"/>
      <c r="E30" s="48"/>
      <c r="F30" s="44"/>
      <c r="G30" s="44"/>
      <c r="H30" s="44"/>
      <c r="I30" s="44"/>
      <c r="J30" s="44"/>
      <c r="K30" s="44"/>
      <c r="L30" s="44"/>
      <c r="M30" s="15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23"/>
      <c r="Y30" s="64"/>
      <c r="Z30" s="58"/>
    </row>
    <row r="31" spans="1:26" ht="24" customHeight="1" hidden="1" thickBot="1">
      <c r="A31" s="41" t="s">
        <v>41</v>
      </c>
      <c r="B31" s="38" t="s">
        <v>45</v>
      </c>
      <c r="C31" s="45"/>
      <c r="D31" s="49"/>
      <c r="E31" s="49"/>
      <c r="F31" s="45"/>
      <c r="G31" s="45"/>
      <c r="H31" s="45"/>
      <c r="I31" s="45"/>
      <c r="J31" s="45"/>
      <c r="K31" s="45"/>
      <c r="L31" s="45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8">
        <f>SUM(X27-X29)</f>
        <v>12385.340999999999</v>
      </c>
      <c r="Y31" s="65"/>
      <c r="Z31" s="60"/>
    </row>
    <row r="32" spans="1:26" ht="24" customHeight="1" hidden="1" thickBot="1">
      <c r="A32" s="41" t="s">
        <v>44</v>
      </c>
      <c r="B32" s="38" t="s">
        <v>24</v>
      </c>
      <c r="C32" s="45"/>
      <c r="D32" s="49"/>
      <c r="E32" s="49"/>
      <c r="F32" s="45"/>
      <c r="G32" s="45"/>
      <c r="H32" s="45"/>
      <c r="I32" s="45"/>
      <c r="J32" s="45"/>
      <c r="K32" s="45"/>
      <c r="L32" s="45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8">
        <f>SUM(X28-X29)</f>
        <v>-24691.81099999995</v>
      </c>
      <c r="Y32" s="65"/>
      <c r="Z32" s="60"/>
    </row>
    <row r="33" spans="2:26" ht="0.75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6"/>
    </row>
    <row r="34" ht="12" customHeight="1">
      <c r="B34" t="s">
        <v>64</v>
      </c>
    </row>
    <row r="35" ht="2.25" customHeight="1" hidden="1"/>
    <row r="36" ht="12.75" hidden="1"/>
    <row r="37" ht="12.75" hidden="1"/>
    <row r="42" ht="12.75" customHeight="1"/>
    <row r="43" ht="12.75" customHeight="1"/>
  </sheetData>
  <sheetProtection/>
  <mergeCells count="5">
    <mergeCell ref="B4:Z4"/>
    <mergeCell ref="B5:Z5"/>
    <mergeCell ref="B3:Z3"/>
    <mergeCell ref="B1:O1"/>
    <mergeCell ref="B2:Y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2020-02-20T07:30:09Z</cp:lastPrinted>
  <dcterms:created xsi:type="dcterms:W3CDTF">2011-06-16T11:06:26Z</dcterms:created>
  <dcterms:modified xsi:type="dcterms:W3CDTF">2020-02-20T07:30:10Z</dcterms:modified>
  <cp:category/>
  <cp:version/>
  <cp:contentType/>
  <cp:contentStatus/>
</cp:coreProperties>
</file>