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<sst xmlns="http://schemas.openxmlformats.org/spreadsheetml/2006/main" count="80" uniqueCount="80">
  <si>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</si>
  <si>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</si>
  <si>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</si>
  <si>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</si>
  <si>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</si>
  <si>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</si>
  <si>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</si>
  <si>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</si>
  <si>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</si>
  <si>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</si>
  <si>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</si>
  <si>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</si>
  <si>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</si>
  <si>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</si>
  <si>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</si>
  <si>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</si>
  <si>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</si>
  <si>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</si>
  <si>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</si>
  <si>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</si>
  <si>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</si>
  <si>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</si>
  <si>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</si>
  <si>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</si>
  <si>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</si>
  <si>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</si>
  <si>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</si>
  <si>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</si>
  <si>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</si>
  <si>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</si>
  <si>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</si>
  <si>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</si>
  <si>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</si>
  <si>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4.6</t>
  </si>
  <si>
    <t>4.7</t>
  </si>
  <si>
    <t>4.8</t>
  </si>
  <si>
    <t>4.9</t>
  </si>
  <si>
    <t>4.11</t>
  </si>
  <si>
    <t>5</t>
  </si>
  <si>
    <t>6</t>
  </si>
  <si>
    <t>7</t>
  </si>
  <si>
    <t>8</t>
  </si>
  <si>
    <t>9</t>
  </si>
  <si>
    <t>по жилому дому г. Унеча ул. Ленина  д.2</t>
  </si>
  <si>
    <t>за 2010 г</t>
  </si>
  <si>
    <t>10</t>
  </si>
  <si>
    <t>Финансовый результат по дому с начала года</t>
  </si>
  <si>
    <t>Итого за 2011 г</t>
  </si>
  <si>
    <t>Проверка дымовых каналов</t>
  </si>
  <si>
    <t>11</t>
  </si>
  <si>
    <t>Результат за месяц</t>
  </si>
  <si>
    <t>Итого за 2012 г</t>
  </si>
  <si>
    <t>Благоустройство территории</t>
  </si>
  <si>
    <t>4.12</t>
  </si>
  <si>
    <t>4.13</t>
  </si>
  <si>
    <t>4.14</t>
  </si>
  <si>
    <t>4.15</t>
  </si>
  <si>
    <t>Итого за 2013 г</t>
  </si>
  <si>
    <t>Итого за 2014 г</t>
  </si>
  <si>
    <t xml:space="preserve">Материалы </t>
  </si>
  <si>
    <t>рентабельность 5%</t>
  </si>
  <si>
    <t>Итого за 2015 г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</si>
  <si>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</si>
  <si>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</si>
  <si>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</si>
  <si>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Л.С./</t>
  </si>
  <si>
    <t>Итого за 2016 г</t>
  </si>
  <si>
    <t>Итого за 2017 г</t>
  </si>
  <si>
    <t>Начислено   СОИД</t>
  </si>
  <si>
    <t>Начислено нежилые</t>
  </si>
  <si>
    <t>Электроэнергия  СОИД</t>
  </si>
  <si>
    <t>Холодная вода СОИД</t>
  </si>
  <si>
    <t>Канализация СОИД</t>
  </si>
  <si>
    <t>Транспортные(ГСМ,зап.части,амортизация,страхов)</t>
  </si>
  <si>
    <t>Итого за 2018 г</t>
  </si>
  <si>
    <t>Итого за 2019 г</t>
  </si>
  <si>
    <t>Всего за 2010-2019</t>
  </si>
  <si>
    <t>Вывоз ТБО (Утилизация)</t>
  </si>
  <si>
    <t>Дом по ул. Ленина д.2 вступил в ООО "Наш дом" с февраля 2010 года   тариф 9,2 руб с января 2019 года тариф 8,6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</si>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</sst>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5" xfId="0" applyFont="1" applyFill="1" applyBorder="1" applyAlignment="1">
      <alignment/>
    </xf>
    <xf numFmtId="0" fontId="25" fillId="0" borderId="26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1" fillId="0" borderId="26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2" borderId="35" xfId="0" applyFont="1" applyFill="1" applyBorder="1" applyAlignment="1">
      <alignment wrapText="1"/>
    </xf>
    <xf numFmtId="2" fontId="21" fillId="0" borderId="36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21" fillId="0" borderId="36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5" xfId="0" applyFont="1" applyFill="1" applyBorder="1" applyAlignment="1">
      <alignment/>
    </xf>
    <xf numFmtId="0" fontId="25" fillId="0" borderId="32" xfId="0" applyFont="1" applyBorder="1" applyAlignment="1">
      <alignment/>
    </xf>
    <xf numFmtId="0" fontId="21" fillId="0" borderId="27" xfId="0" applyFont="1" applyBorder="1" applyAlignment="1">
      <alignment wrapText="1"/>
    </xf>
    <xf numFmtId="49" fontId="0" fillId="0" borderId="35" xfId="0" applyNumberFormat="1" applyBorder="1" applyAlignment="1">
      <alignment horizontal="center"/>
    </xf>
    <xf numFmtId="0" fontId="21" fillId="0" borderId="37" xfId="0" applyFont="1" applyBorder="1" applyAlignment="1">
      <alignment wrapText="1"/>
    </xf>
    <xf numFmtId="2" fontId="21" fillId="0" borderId="38" xfId="0" applyNumberFormat="1" applyFont="1" applyBorder="1" applyAlignment="1">
      <alignment horizontal="right" wrapText="1"/>
    </xf>
    <xf numFmtId="0" fontId="25" fillId="0" borderId="39" xfId="0" applyFont="1" applyBorder="1" applyAlignment="1">
      <alignment/>
    </xf>
    <xf numFmtId="0" fontId="26" fillId="0" borderId="32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1" fillId="2" borderId="25" xfId="0" applyFont="1" applyFill="1" applyBorder="1" applyAlignment="1">
      <alignment wrapText="1"/>
    </xf>
    <xf numFmtId="0" fontId="19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26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2" fontId="21" fillId="0" borderId="46" xfId="0" applyNumberFormat="1" applyFont="1" applyBorder="1" applyAlignment="1">
      <alignment/>
    </xf>
    <xf numFmtId="2" fontId="21" fillId="0" borderId="40" xfId="0" applyNumberFormat="1" applyFont="1" applyBorder="1" applyAlignment="1">
      <alignment/>
    </xf>
    <xf numFmtId="2" fontId="21" fillId="0" borderId="47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0" fontId="26" fillId="0" borderId="36" xfId="0" applyFont="1" applyBorder="1" applyAlignment="1">
      <alignment wrapText="1"/>
    </xf>
    <xf numFmtId="2" fontId="21" fillId="0" borderId="38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7" fillId="0" borderId="26" xfId="0" applyFont="1" applyBorder="1" applyAlignment="1">
      <alignment/>
    </xf>
    <xf numFmtId="0" fontId="27" fillId="0" borderId="48" xfId="0" applyFont="1" applyBorder="1" applyAlignment="1">
      <alignment/>
    </xf>
    <xf numFmtId="0" fontId="27" fillId="0" borderId="40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26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49" fontId="0" fillId="0" borderId="36" xfId="0" applyNumberFormat="1" applyBorder="1" applyAlignment="1">
      <alignment horizontal="center"/>
    </xf>
    <xf numFmtId="0" fontId="21" fillId="0" borderId="25" xfId="0" applyFont="1" applyBorder="1" applyAlignment="1">
      <alignment/>
    </xf>
    <xf numFmtId="2" fontId="21" fillId="0" borderId="25" xfId="0" applyNumberFormat="1" applyFont="1" applyBorder="1" applyAlignment="1">
      <alignment/>
    </xf>
    <xf numFmtId="2" fontId="21" fillId="0" borderId="19" xfId="0" applyNumberFormat="1" applyFont="1" applyBorder="1" applyAlignment="1">
      <alignment/>
    </xf>
    <xf numFmtId="0" fontId="21" fillId="0" borderId="31" xfId="0" applyFont="1" applyBorder="1" applyAlignment="1">
      <alignment/>
    </xf>
    <xf numFmtId="49" fontId="22" fillId="0" borderId="49" xfId="0" applyNumberFormat="1" applyFont="1" applyBorder="1" applyAlignment="1">
      <alignment horizontal="center"/>
    </xf>
    <xf numFmtId="0" fontId="27" fillId="0" borderId="50" xfId="0" applyFont="1" applyBorder="1" applyAlignment="1">
      <alignment wrapText="1"/>
    </xf>
    <xf numFmtId="0" fontId="27" fillId="0" borderId="51" xfId="0" applyFont="1" applyBorder="1" applyAlignment="1">
      <alignment wrapText="1"/>
    </xf>
    <xf numFmtId="0" fontId="27" fillId="0" borderId="52" xfId="0" applyFont="1" applyBorder="1" applyAlignment="1">
      <alignment/>
    </xf>
    <xf numFmtId="0" fontId="27" fillId="0" borderId="51" xfId="0" applyFont="1" applyBorder="1" applyAlignment="1">
      <alignment/>
    </xf>
    <xf numFmtId="2" fontId="27" fillId="0" borderId="52" xfId="0" applyNumberFormat="1" applyFont="1" applyBorder="1" applyAlignment="1">
      <alignment/>
    </xf>
    <xf numFmtId="2" fontId="27" fillId="0" borderId="51" xfId="0" applyNumberFormat="1" applyFont="1" applyBorder="1" applyAlignment="1">
      <alignment/>
    </xf>
    <xf numFmtId="2" fontId="27" fillId="0" borderId="53" xfId="0" applyNumberFormat="1" applyFont="1" applyBorder="1" applyAlignment="1">
      <alignment/>
    </xf>
    <xf numFmtId="2" fontId="27" fillId="0" borderId="54" xfId="0" applyNumberFormat="1" applyFont="1" applyBorder="1" applyAlignment="1">
      <alignment/>
    </xf>
    <xf numFmtId="0" fontId="22" fillId="0" borderId="5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PageLayoutView="0" workbookViewId="0" topLeftCell="A10">
      <selection activeCell="U43" sqref="U43"/>
    </sheetView>
  </sheetViews>
  <sheetFormatPr defaultColWidth="9.00390625" defaultRowHeight="12.75"/>
  <cols>
    <col min="1" max="1" width="3.125" style="26" customWidth="1"/>
    <col min="2" max="2" width="20.75390625" style="0" customWidth="1"/>
    <col min="3" max="3" width="7.125" style="0" hidden="1" customWidth="1"/>
    <col min="4" max="4" width="7.625" style="0" hidden="1" customWidth="1"/>
    <col min="5" max="5" width="9.125" style="0" hidden="1" customWidth="1"/>
    <col min="6" max="6" width="9.625" style="0" hidden="1" customWidth="1"/>
    <col min="7" max="7" width="9.75390625" style="0" hidden="1" customWidth="1"/>
    <col min="8" max="8" width="9.25390625" style="0" hidden="1" customWidth="1"/>
    <col min="9" max="9" width="10.375" style="0" hidden="1" customWidth="1"/>
    <col min="10" max="10" width="4.375" style="0" hidden="1" customWidth="1"/>
    <col min="11" max="11" width="9.75390625" style="0" hidden="1" customWidth="1"/>
    <col min="12" max="12" width="8.25390625" style="0" customWidth="1"/>
    <col min="13" max="13" width="8.875" style="0" customWidth="1"/>
    <col min="14" max="14" width="8.125" style="0" customWidth="1"/>
    <col min="15" max="15" width="8.625" style="0" customWidth="1"/>
    <col min="16" max="16" width="8.00390625" style="0" customWidth="1"/>
    <col min="17" max="17" width="8.875" style="0" customWidth="1"/>
    <col min="18" max="18" width="8.75390625" style="0" customWidth="1"/>
    <col min="19" max="19" width="8.625" style="0" customWidth="1"/>
    <col min="20" max="20" width="7.875" style="0" customWidth="1"/>
    <col min="21" max="21" width="7.625" style="0" customWidth="1"/>
    <col min="22" max="22" width="7.875" style="0" customWidth="1"/>
    <col min="23" max="23" width="8.75390625" style="0" customWidth="1"/>
    <col min="24" max="24" width="9.25390625" style="0" customWidth="1"/>
    <col min="25" max="25" width="11.125" style="0" customWidth="1"/>
  </cols>
  <sheetData>
    <row r="1" spans="2:30" ht="12.75" customHeight="1">
      <c r="B1" s="89" t="s">
        <v>79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89" t="s">
        <v>78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  <c r="W2" s="90"/>
      <c r="X2" s="90"/>
      <c r="Y2" s="4"/>
      <c r="Z2" s="4"/>
      <c r="AA2" s="4"/>
      <c r="AB2" s="4"/>
      <c r="AC2" s="4"/>
      <c r="AD2" s="4"/>
    </row>
    <row r="3" spans="2:30" ht="12.75" customHeight="1">
      <c r="B3" s="88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3"/>
      <c r="AA3" s="3"/>
      <c r="AB3" s="3"/>
      <c r="AC3" s="3"/>
      <c r="AD3" s="3"/>
    </row>
    <row r="4" spans="2:30" ht="15" customHeight="1">
      <c r="B4" s="87" t="s">
        <v>9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2"/>
      <c r="AA4" s="2"/>
      <c r="AB4" s="2"/>
      <c r="AC4" s="2"/>
      <c r="AD4" s="2"/>
    </row>
    <row r="5" spans="2:30" ht="16.5" customHeight="1" thickBot="1">
      <c r="B5" s="87" t="s">
        <v>43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2"/>
      <c r="AA5" s="2"/>
      <c r="AB5" s="2"/>
      <c r="AC5" s="2"/>
      <c r="AD5" s="2"/>
    </row>
    <row r="6" spans="2:30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</row>
    <row r="7" spans="1:30" ht="28.5" customHeight="1" thickBot="1">
      <c r="A7" s="35" t="s">
        <v>26</v>
      </c>
      <c r="B7" s="27" t="s">
        <v>6</v>
      </c>
      <c r="C7" s="38" t="s">
        <v>44</v>
      </c>
      <c r="D7" s="63" t="s">
        <v>47</v>
      </c>
      <c r="E7" s="49" t="s">
        <v>51</v>
      </c>
      <c r="F7" s="49" t="s">
        <v>57</v>
      </c>
      <c r="G7" s="63" t="s">
        <v>58</v>
      </c>
      <c r="H7" s="49" t="s">
        <v>61</v>
      </c>
      <c r="I7" s="49" t="s">
        <v>66</v>
      </c>
      <c r="J7" s="49" t="s">
        <v>67</v>
      </c>
      <c r="K7" s="49" t="s">
        <v>74</v>
      </c>
      <c r="L7" s="6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  <c r="S7" s="5" t="s">
        <v>17</v>
      </c>
      <c r="T7" s="5" t="s">
        <v>18</v>
      </c>
      <c r="U7" s="5" t="s">
        <v>19</v>
      </c>
      <c r="V7" s="5" t="s">
        <v>21</v>
      </c>
      <c r="W7" s="15" t="s">
        <v>20</v>
      </c>
      <c r="X7" s="49" t="s">
        <v>75</v>
      </c>
      <c r="Y7" s="45" t="s">
        <v>76</v>
      </c>
      <c r="Z7" s="1"/>
      <c r="AA7" s="1"/>
      <c r="AB7" s="1"/>
      <c r="AC7" s="1"/>
      <c r="AD7" s="1"/>
    </row>
    <row r="8" spans="1:25" ht="13.5" thickBot="1">
      <c r="A8" s="36" t="s">
        <v>27</v>
      </c>
      <c r="B8" s="28" t="s">
        <v>1</v>
      </c>
      <c r="C8" s="60">
        <v>119842.1</v>
      </c>
      <c r="D8" s="64">
        <v>132505.16</v>
      </c>
      <c r="E8" s="60">
        <v>134427.08</v>
      </c>
      <c r="F8" s="60">
        <v>135299.8</v>
      </c>
      <c r="G8" s="64">
        <v>135224.36</v>
      </c>
      <c r="H8" s="60">
        <v>135008.16</v>
      </c>
      <c r="I8" s="60">
        <v>134864.64</v>
      </c>
      <c r="J8" s="60">
        <v>128700.18</v>
      </c>
      <c r="K8" s="60">
        <v>128735.14</v>
      </c>
      <c r="L8" s="7">
        <v>10028.46</v>
      </c>
      <c r="M8" s="7">
        <v>10028.46</v>
      </c>
      <c r="N8" s="7">
        <v>10028.46</v>
      </c>
      <c r="O8" s="7">
        <v>10028.46</v>
      </c>
      <c r="P8" s="7">
        <v>10028.46</v>
      </c>
      <c r="Q8" s="7">
        <v>10028.46</v>
      </c>
      <c r="R8" s="7">
        <v>10028.46</v>
      </c>
      <c r="S8" s="7">
        <v>10028.46</v>
      </c>
      <c r="T8" s="7">
        <v>10028.46</v>
      </c>
      <c r="U8" s="7">
        <v>10028.46</v>
      </c>
      <c r="V8" s="7">
        <v>10028.46</v>
      </c>
      <c r="W8" s="7">
        <v>10028.46</v>
      </c>
      <c r="X8" s="50">
        <f>SUM(L8:W8)</f>
        <v>120341.51999999996</v>
      </c>
      <c r="Y8" s="54">
        <f>SUM(C8:W8)</f>
        <v>1304948.1399999994</v>
      </c>
    </row>
    <row r="9" spans="1:25" ht="13.5" thickBot="1">
      <c r="A9" s="36"/>
      <c r="B9" s="28" t="s">
        <v>68</v>
      </c>
      <c r="C9" s="77"/>
      <c r="D9" s="64"/>
      <c r="E9" s="77"/>
      <c r="F9" s="77"/>
      <c r="G9" s="64"/>
      <c r="H9" s="77"/>
      <c r="I9" s="77">
        <v>0</v>
      </c>
      <c r="J9" s="77">
        <v>16371.61</v>
      </c>
      <c r="K9" s="77">
        <v>13032.02</v>
      </c>
      <c r="L9" s="7">
        <f aca="true" t="shared" si="0" ref="L9:Q9">80.9+71.6</f>
        <v>152.5</v>
      </c>
      <c r="M9" s="7">
        <f t="shared" si="0"/>
        <v>152.5</v>
      </c>
      <c r="N9" s="7">
        <f t="shared" si="0"/>
        <v>152.5</v>
      </c>
      <c r="O9" s="7">
        <f t="shared" si="0"/>
        <v>152.5</v>
      </c>
      <c r="P9" s="7">
        <f t="shared" si="0"/>
        <v>152.5</v>
      </c>
      <c r="Q9" s="7">
        <f t="shared" si="0"/>
        <v>152.5</v>
      </c>
      <c r="R9" s="8">
        <f aca="true" t="shared" si="1" ref="R9:W9">82.37+79.65</f>
        <v>162.02</v>
      </c>
      <c r="S9" s="8">
        <f t="shared" si="1"/>
        <v>162.02</v>
      </c>
      <c r="T9" s="8">
        <f t="shared" si="1"/>
        <v>162.02</v>
      </c>
      <c r="U9" s="8">
        <f t="shared" si="1"/>
        <v>162.02</v>
      </c>
      <c r="V9" s="8">
        <f t="shared" si="1"/>
        <v>162.02</v>
      </c>
      <c r="W9" s="8">
        <f t="shared" si="1"/>
        <v>162.02</v>
      </c>
      <c r="X9" s="50">
        <f>SUM(L9:W9)</f>
        <v>1887.12</v>
      </c>
      <c r="Y9" s="54">
        <f>SUM(C9:W9)</f>
        <v>31290.750000000004</v>
      </c>
    </row>
    <row r="10" spans="1:25" ht="13.5" thickBot="1">
      <c r="A10" s="36"/>
      <c r="B10" s="28" t="s">
        <v>69</v>
      </c>
      <c r="C10" s="77"/>
      <c r="D10" s="64"/>
      <c r="E10" s="77"/>
      <c r="F10" s="77"/>
      <c r="G10" s="64"/>
      <c r="H10" s="77"/>
      <c r="I10" s="77">
        <v>0</v>
      </c>
      <c r="J10" s="77">
        <v>6954.49</v>
      </c>
      <c r="K10" s="77">
        <v>7196.34</v>
      </c>
      <c r="L10" s="7">
        <v>569.38</v>
      </c>
      <c r="M10" s="7">
        <v>569.38</v>
      </c>
      <c r="N10" s="7">
        <v>569.38</v>
      </c>
      <c r="O10" s="7">
        <v>569.38</v>
      </c>
      <c r="P10" s="7">
        <v>569.38</v>
      </c>
      <c r="Q10" s="7">
        <v>569.38</v>
      </c>
      <c r="R10" s="8">
        <v>572.73</v>
      </c>
      <c r="S10" s="8">
        <v>572.73</v>
      </c>
      <c r="T10" s="8">
        <v>572.73</v>
      </c>
      <c r="U10" s="8">
        <v>572.73</v>
      </c>
      <c r="V10" s="8">
        <v>572.73</v>
      </c>
      <c r="W10" s="8">
        <v>572.73</v>
      </c>
      <c r="X10" s="50">
        <f>SUM(L10:W10)</f>
        <v>6852.659999999998</v>
      </c>
      <c r="Y10" s="54">
        <f>SUM(C10:W10)</f>
        <v>21003.489999999998</v>
      </c>
    </row>
    <row r="11" spans="1:25" s="86" customFormat="1" ht="13.5" thickBot="1">
      <c r="A11" s="79" t="s">
        <v>28</v>
      </c>
      <c r="B11" s="80" t="s">
        <v>2</v>
      </c>
      <c r="C11" s="81">
        <f aca="true" t="shared" si="2" ref="C11:L11">SUM(C12:C26)</f>
        <v>94728.40000000001</v>
      </c>
      <c r="D11" s="82">
        <f t="shared" si="2"/>
        <v>151465.44999999998</v>
      </c>
      <c r="E11" s="81">
        <f t="shared" si="2"/>
        <v>134201.62000000002</v>
      </c>
      <c r="F11" s="81">
        <f t="shared" si="2"/>
        <v>109231.56</v>
      </c>
      <c r="G11" s="83">
        <f t="shared" si="2"/>
        <v>120498.47</v>
      </c>
      <c r="H11" s="81">
        <f>SUM(H12:H26)</f>
        <v>136830.37000000002</v>
      </c>
      <c r="I11" s="81">
        <f>SUM(I12:I26)</f>
        <v>123061.94</v>
      </c>
      <c r="J11" s="81">
        <f>SUM(J12:J26)</f>
        <v>136095.37</v>
      </c>
      <c r="K11" s="81">
        <f t="shared" si="2"/>
        <v>146478.51</v>
      </c>
      <c r="L11" s="84">
        <f t="shared" si="2"/>
        <v>8672.02</v>
      </c>
      <c r="M11" s="84">
        <f aca="true" t="shared" si="3" ref="M11:W11">SUM(M12:M26)</f>
        <v>10030.88</v>
      </c>
      <c r="N11" s="84">
        <f t="shared" si="3"/>
        <v>8055.61</v>
      </c>
      <c r="O11" s="84">
        <f t="shared" si="3"/>
        <v>8751.38</v>
      </c>
      <c r="P11" s="84">
        <f t="shared" si="3"/>
        <v>8297.21</v>
      </c>
      <c r="Q11" s="84">
        <f t="shared" si="3"/>
        <v>12580.740000000002</v>
      </c>
      <c r="R11" s="84">
        <f t="shared" si="3"/>
        <v>9215.22</v>
      </c>
      <c r="S11" s="84">
        <f t="shared" si="3"/>
        <v>8457.91</v>
      </c>
      <c r="T11" s="84">
        <f t="shared" si="3"/>
        <v>7914.49</v>
      </c>
      <c r="U11" s="84">
        <f t="shared" si="3"/>
        <v>10881.41</v>
      </c>
      <c r="V11" s="84">
        <f t="shared" si="3"/>
        <v>8416.49</v>
      </c>
      <c r="W11" s="82">
        <f t="shared" si="3"/>
        <v>8885.69</v>
      </c>
      <c r="X11" s="81">
        <f>SUM(L11:W11)</f>
        <v>110159.05000000002</v>
      </c>
      <c r="Y11" s="85">
        <f>SUM(C11:W11)</f>
        <v>1262750.7399999995</v>
      </c>
    </row>
    <row r="12" spans="1:25" ht="13.5" thickBot="1">
      <c r="A12" s="36" t="s">
        <v>29</v>
      </c>
      <c r="B12" s="30" t="s">
        <v>77</v>
      </c>
      <c r="C12" s="42">
        <v>17809.48</v>
      </c>
      <c r="D12" s="65">
        <v>21734.01</v>
      </c>
      <c r="E12" s="42">
        <v>22217.83</v>
      </c>
      <c r="F12" s="42">
        <v>22854.3</v>
      </c>
      <c r="G12" s="65">
        <v>25169.27</v>
      </c>
      <c r="H12" s="42">
        <v>23049</v>
      </c>
      <c r="I12" s="42">
        <v>22864.18</v>
      </c>
      <c r="J12" s="42">
        <v>22413.46</v>
      </c>
      <c r="K12" s="42">
        <v>24470.64</v>
      </c>
      <c r="L12" s="7"/>
      <c r="M12" s="8"/>
      <c r="N12" s="8"/>
      <c r="O12" s="8">
        <v>50.9</v>
      </c>
      <c r="P12" s="8">
        <v>38.89</v>
      </c>
      <c r="Q12" s="8">
        <v>16.09</v>
      </c>
      <c r="R12" s="8">
        <v>42.4</v>
      </c>
      <c r="S12" s="8">
        <v>31.32</v>
      </c>
      <c r="T12" s="8">
        <v>7.85</v>
      </c>
      <c r="U12" s="8">
        <v>28.06</v>
      </c>
      <c r="V12" s="8">
        <v>23.36</v>
      </c>
      <c r="W12" s="16">
        <v>15.83</v>
      </c>
      <c r="X12" s="51">
        <f aca="true" t="shared" si="4" ref="X12:X28">SUM(L12:W12)</f>
        <v>254.70000000000002</v>
      </c>
      <c r="Y12" s="25">
        <f aca="true" t="shared" si="5" ref="Y12:Y26">SUM(C12:W12)</f>
        <v>202836.86999999997</v>
      </c>
    </row>
    <row r="13" spans="1:25" ht="11.25" customHeight="1" thickBot="1">
      <c r="A13" s="36" t="s">
        <v>30</v>
      </c>
      <c r="B13" s="31" t="s">
        <v>62</v>
      </c>
      <c r="C13" s="43">
        <v>27360.54</v>
      </c>
      <c r="D13" s="66">
        <v>13277.33</v>
      </c>
      <c r="E13" s="43">
        <v>1415.87</v>
      </c>
      <c r="F13" s="43">
        <v>2399.93</v>
      </c>
      <c r="G13" s="66">
        <f>746.67+1200</f>
        <v>1946.67</v>
      </c>
      <c r="H13" s="43">
        <v>2847.07</v>
      </c>
      <c r="I13" s="43">
        <v>3961.15</v>
      </c>
      <c r="J13" s="43">
        <v>549.65</v>
      </c>
      <c r="K13" s="43">
        <v>3086</v>
      </c>
      <c r="L13" s="9"/>
      <c r="M13" s="10">
        <v>1800</v>
      </c>
      <c r="N13" s="10"/>
      <c r="O13" s="10"/>
      <c r="P13" s="10"/>
      <c r="Q13" s="10"/>
      <c r="R13" s="10"/>
      <c r="S13" s="10"/>
      <c r="T13" s="10"/>
      <c r="U13" s="10"/>
      <c r="V13" s="10"/>
      <c r="W13" s="17"/>
      <c r="X13" s="51">
        <f t="shared" si="4"/>
        <v>1800</v>
      </c>
      <c r="Y13" s="25">
        <f t="shared" si="5"/>
        <v>58644.21000000001</v>
      </c>
    </row>
    <row r="14" spans="1:25" ht="15" customHeight="1" thickBot="1">
      <c r="A14" s="36" t="s">
        <v>31</v>
      </c>
      <c r="B14" s="29" t="s">
        <v>4</v>
      </c>
      <c r="C14" s="43">
        <v>0</v>
      </c>
      <c r="D14" s="66">
        <v>0</v>
      </c>
      <c r="E14" s="43">
        <v>7877.07</v>
      </c>
      <c r="F14" s="43">
        <v>0</v>
      </c>
      <c r="G14" s="66"/>
      <c r="H14" s="43">
        <v>7023.7</v>
      </c>
      <c r="I14" s="43">
        <v>0</v>
      </c>
      <c r="J14" s="43">
        <v>0</v>
      </c>
      <c r="K14" s="43">
        <v>9670.39</v>
      </c>
      <c r="L14" s="9"/>
      <c r="M14" s="10"/>
      <c r="N14" s="10"/>
      <c r="O14" s="10"/>
      <c r="P14" s="10"/>
      <c r="Q14" s="10">
        <v>4410.6</v>
      </c>
      <c r="R14" s="10"/>
      <c r="S14" s="10"/>
      <c r="T14" s="10"/>
      <c r="U14" s="10"/>
      <c r="V14" s="10"/>
      <c r="W14" s="17"/>
      <c r="X14" s="51">
        <f t="shared" si="4"/>
        <v>4410.6</v>
      </c>
      <c r="Y14" s="25">
        <f t="shared" si="5"/>
        <v>28981.760000000002</v>
      </c>
    </row>
    <row r="15" spans="1:25" ht="25.5" customHeight="1" thickBot="1">
      <c r="A15" s="36" t="s">
        <v>32</v>
      </c>
      <c r="B15" s="29" t="s">
        <v>48</v>
      </c>
      <c r="C15" s="43">
        <v>0</v>
      </c>
      <c r="D15" s="66">
        <v>1434.36</v>
      </c>
      <c r="E15" s="43">
        <v>0</v>
      </c>
      <c r="F15" s="43">
        <v>0</v>
      </c>
      <c r="G15" s="66"/>
      <c r="H15" s="43">
        <v>700</v>
      </c>
      <c r="I15" s="43">
        <v>4700</v>
      </c>
      <c r="J15" s="43">
        <v>1600</v>
      </c>
      <c r="K15" s="43">
        <v>1200</v>
      </c>
      <c r="L15" s="9"/>
      <c r="M15" s="10"/>
      <c r="N15" s="10"/>
      <c r="O15" s="10"/>
      <c r="P15" s="10"/>
      <c r="Q15" s="10"/>
      <c r="R15" s="10"/>
      <c r="S15" s="10"/>
      <c r="T15" s="10"/>
      <c r="U15" s="10">
        <v>1000</v>
      </c>
      <c r="V15" s="10"/>
      <c r="W15" s="17"/>
      <c r="X15" s="51">
        <f t="shared" si="4"/>
        <v>1000</v>
      </c>
      <c r="Y15" s="25">
        <f t="shared" si="5"/>
        <v>10634.36</v>
      </c>
    </row>
    <row r="16" spans="1:25" ht="15" customHeight="1" thickBot="1">
      <c r="A16" s="36" t="s">
        <v>33</v>
      </c>
      <c r="B16" s="31" t="s">
        <v>59</v>
      </c>
      <c r="C16" s="43">
        <v>5836.03</v>
      </c>
      <c r="D16" s="66">
        <v>34540.13</v>
      </c>
      <c r="E16" s="43">
        <v>18831.13</v>
      </c>
      <c r="F16" s="43">
        <v>1331.01</v>
      </c>
      <c r="G16" s="66">
        <v>9322.32</v>
      </c>
      <c r="H16" s="43">
        <v>4934.65</v>
      </c>
      <c r="I16" s="43">
        <v>4047.51</v>
      </c>
      <c r="J16" s="43">
        <v>6657.32</v>
      </c>
      <c r="K16" s="43">
        <v>1602.37</v>
      </c>
      <c r="L16" s="9">
        <v>60</v>
      </c>
      <c r="M16" s="10">
        <v>60</v>
      </c>
      <c r="N16" s="10">
        <v>60</v>
      </c>
      <c r="O16" s="10"/>
      <c r="P16" s="10"/>
      <c r="Q16" s="10"/>
      <c r="R16" s="10">
        <v>767.97</v>
      </c>
      <c r="S16" s="10">
        <v>385</v>
      </c>
      <c r="T16" s="10">
        <v>60</v>
      </c>
      <c r="U16" s="10">
        <v>707.2</v>
      </c>
      <c r="V16" s="10"/>
      <c r="W16" s="17">
        <v>200</v>
      </c>
      <c r="X16" s="51">
        <f t="shared" si="4"/>
        <v>2300.17</v>
      </c>
      <c r="Y16" s="25">
        <f t="shared" si="5"/>
        <v>89402.63999999997</v>
      </c>
    </row>
    <row r="17" spans="1:25" ht="24.75" customHeight="1" thickBot="1">
      <c r="A17" s="36" t="s">
        <v>34</v>
      </c>
      <c r="B17" s="31" t="s">
        <v>52</v>
      </c>
      <c r="C17" s="43">
        <v>0</v>
      </c>
      <c r="D17" s="66">
        <v>0</v>
      </c>
      <c r="E17" s="43">
        <v>256</v>
      </c>
      <c r="F17" s="43">
        <v>0</v>
      </c>
      <c r="G17" s="66">
        <v>1924.18</v>
      </c>
      <c r="H17" s="43">
        <v>6018.23</v>
      </c>
      <c r="I17" s="43">
        <v>186</v>
      </c>
      <c r="J17" s="43">
        <v>191.95</v>
      </c>
      <c r="K17" s="43">
        <v>92</v>
      </c>
      <c r="L17" s="9">
        <v>80.2</v>
      </c>
      <c r="M17" s="10">
        <v>41</v>
      </c>
      <c r="N17" s="10"/>
      <c r="O17" s="10"/>
      <c r="P17" s="10"/>
      <c r="Q17" s="10"/>
      <c r="R17" s="10"/>
      <c r="S17" s="10"/>
      <c r="T17" s="10"/>
      <c r="U17" s="10"/>
      <c r="V17" s="10"/>
      <c r="W17" s="17"/>
      <c r="X17" s="51">
        <f>SUM(L17:W17)</f>
        <v>121.2</v>
      </c>
      <c r="Y17" s="25">
        <f>SUM(C17:W17)</f>
        <v>8789.560000000001</v>
      </c>
    </row>
    <row r="18" spans="1:25" ht="12" customHeight="1" thickBot="1">
      <c r="A18" s="36" t="s">
        <v>35</v>
      </c>
      <c r="B18" s="31" t="s">
        <v>70</v>
      </c>
      <c r="C18" s="43">
        <v>6751.52</v>
      </c>
      <c r="D18" s="66">
        <v>12109.36</v>
      </c>
      <c r="E18" s="43">
        <v>4678.15</v>
      </c>
      <c r="F18" s="43">
        <v>0</v>
      </c>
      <c r="G18" s="66"/>
      <c r="H18" s="43">
        <v>0</v>
      </c>
      <c r="I18" s="43">
        <v>0</v>
      </c>
      <c r="J18" s="43">
        <v>15107.03</v>
      </c>
      <c r="K18" s="43">
        <v>11208.68</v>
      </c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7"/>
      <c r="X18" s="51">
        <f t="shared" si="4"/>
        <v>0</v>
      </c>
      <c r="Y18" s="25">
        <f t="shared" si="5"/>
        <v>49854.74</v>
      </c>
    </row>
    <row r="19" spans="1:25" ht="12" customHeight="1" thickBot="1">
      <c r="A19" s="36"/>
      <c r="B19" s="31" t="s">
        <v>71</v>
      </c>
      <c r="C19" s="43"/>
      <c r="D19" s="66"/>
      <c r="E19" s="43"/>
      <c r="F19" s="43"/>
      <c r="G19" s="66"/>
      <c r="H19" s="43"/>
      <c r="I19" s="43"/>
      <c r="J19" s="43">
        <v>804.23</v>
      </c>
      <c r="K19" s="43">
        <v>1014</v>
      </c>
      <c r="L19" s="9">
        <v>84.76</v>
      </c>
      <c r="M19" s="9">
        <v>84.76</v>
      </c>
      <c r="N19" s="9">
        <v>84.76</v>
      </c>
      <c r="O19" s="9">
        <v>84.76</v>
      </c>
      <c r="P19" s="9">
        <v>84.76</v>
      </c>
      <c r="Q19" s="9">
        <v>84.76</v>
      </c>
      <c r="R19" s="9">
        <v>84.76</v>
      </c>
      <c r="S19" s="10">
        <v>87.86</v>
      </c>
      <c r="T19" s="10">
        <v>86.31</v>
      </c>
      <c r="U19" s="10">
        <v>86.31</v>
      </c>
      <c r="V19" s="10">
        <v>86.31</v>
      </c>
      <c r="W19" s="10">
        <v>86.31</v>
      </c>
      <c r="X19" s="51">
        <f>SUM(L19:W19)</f>
        <v>1026.4199999999998</v>
      </c>
      <c r="Y19" s="25">
        <f>SUM(C19:W19)</f>
        <v>2844.650000000001</v>
      </c>
    </row>
    <row r="20" spans="1:25" ht="12" customHeight="1" thickBot="1">
      <c r="A20" s="36"/>
      <c r="B20" s="31" t="s">
        <v>72</v>
      </c>
      <c r="C20" s="43"/>
      <c r="D20" s="66"/>
      <c r="E20" s="43"/>
      <c r="F20" s="43"/>
      <c r="G20" s="66"/>
      <c r="H20" s="43"/>
      <c r="I20" s="43"/>
      <c r="J20" s="43">
        <v>518.99</v>
      </c>
      <c r="K20" s="43">
        <v>896.52</v>
      </c>
      <c r="L20" s="9">
        <v>75.03</v>
      </c>
      <c r="M20" s="9">
        <v>75.03</v>
      </c>
      <c r="N20" s="9">
        <v>75.03</v>
      </c>
      <c r="O20" s="9">
        <v>75.03</v>
      </c>
      <c r="P20" s="9">
        <v>75.03</v>
      </c>
      <c r="Q20" s="9">
        <v>75.03</v>
      </c>
      <c r="R20" s="9">
        <v>75.03</v>
      </c>
      <c r="S20" s="10">
        <v>83.48</v>
      </c>
      <c r="T20" s="10">
        <v>83.48</v>
      </c>
      <c r="U20" s="10">
        <v>83.48</v>
      </c>
      <c r="V20" s="10">
        <v>83.48</v>
      </c>
      <c r="W20" s="10">
        <v>83.48</v>
      </c>
      <c r="X20" s="51">
        <f>SUM(L20:W20)</f>
        <v>942.61</v>
      </c>
      <c r="Y20" s="25">
        <f>SUM(C20:W20)</f>
        <v>2358.12</v>
      </c>
    </row>
    <row r="21" spans="1:25" ht="13.5" customHeight="1" thickBot="1">
      <c r="A21" s="36" t="s">
        <v>36</v>
      </c>
      <c r="B21" s="31" t="s">
        <v>5</v>
      </c>
      <c r="C21" s="43">
        <v>699.66</v>
      </c>
      <c r="D21" s="66">
        <v>479.43</v>
      </c>
      <c r="E21" s="43">
        <v>359.41</v>
      </c>
      <c r="F21" s="43">
        <v>464.63</v>
      </c>
      <c r="G21" s="66"/>
      <c r="H21" s="43">
        <v>0</v>
      </c>
      <c r="I21" s="43">
        <v>0</v>
      </c>
      <c r="J21" s="43">
        <v>0</v>
      </c>
      <c r="K21" s="43">
        <v>0</v>
      </c>
      <c r="L21" s="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7"/>
      <c r="X21" s="51">
        <f t="shared" si="4"/>
        <v>0</v>
      </c>
      <c r="Y21" s="25">
        <f t="shared" si="5"/>
        <v>2003.13</v>
      </c>
    </row>
    <row r="22" spans="1:25" ht="23.25" customHeight="1" thickBot="1">
      <c r="A22" s="36" t="s">
        <v>37</v>
      </c>
      <c r="B22" s="31" t="s">
        <v>73</v>
      </c>
      <c r="C22" s="43">
        <v>1590.08</v>
      </c>
      <c r="D22" s="66">
        <v>5555.67</v>
      </c>
      <c r="E22" s="43">
        <v>7408.21</v>
      </c>
      <c r="F22" s="43">
        <v>6776.94</v>
      </c>
      <c r="G22" s="66">
        <v>4762.71</v>
      </c>
      <c r="H22" s="43">
        <v>5608.6</v>
      </c>
      <c r="I22" s="43">
        <v>5924.32</v>
      </c>
      <c r="J22" s="43">
        <v>6019.23</v>
      </c>
      <c r="K22" s="43">
        <v>6327.1</v>
      </c>
      <c r="L22" s="9">
        <v>509.65</v>
      </c>
      <c r="M22" s="10">
        <v>534.24</v>
      </c>
      <c r="N22" s="10">
        <v>424.19</v>
      </c>
      <c r="O22" s="10">
        <v>508.03</v>
      </c>
      <c r="P22" s="10">
        <v>422.63</v>
      </c>
      <c r="Q22" s="10">
        <v>324.05</v>
      </c>
      <c r="R22" s="10">
        <v>338.69</v>
      </c>
      <c r="S22" s="10">
        <v>287.06</v>
      </c>
      <c r="T22" s="10">
        <v>322.78</v>
      </c>
      <c r="U22" s="10">
        <v>668.41</v>
      </c>
      <c r="V22" s="10">
        <v>422.65</v>
      </c>
      <c r="W22" s="17">
        <v>359.59</v>
      </c>
      <c r="X22" s="51">
        <f t="shared" si="4"/>
        <v>5121.969999999999</v>
      </c>
      <c r="Y22" s="25">
        <f t="shared" si="5"/>
        <v>55094.829999999994</v>
      </c>
    </row>
    <row r="23" spans="1:25" ht="27.75" customHeight="1" thickBot="1">
      <c r="A23" s="36" t="s">
        <v>53</v>
      </c>
      <c r="B23" s="31" t="s">
        <v>63</v>
      </c>
      <c r="C23" s="43">
        <v>2836.6</v>
      </c>
      <c r="D23" s="66">
        <v>3025.08</v>
      </c>
      <c r="E23" s="43">
        <v>919.48</v>
      </c>
      <c r="F23" s="43">
        <v>659.2</v>
      </c>
      <c r="G23" s="66">
        <v>1433.49</v>
      </c>
      <c r="H23" s="43">
        <v>966.57</v>
      </c>
      <c r="I23" s="43">
        <v>842.8</v>
      </c>
      <c r="J23" s="43">
        <v>658.41</v>
      </c>
      <c r="K23" s="43">
        <v>638.23</v>
      </c>
      <c r="L23" s="9">
        <v>40.32</v>
      </c>
      <c r="M23" s="10">
        <v>34.77</v>
      </c>
      <c r="N23" s="10">
        <v>30.3</v>
      </c>
      <c r="O23" s="10">
        <v>35.25</v>
      </c>
      <c r="P23" s="10">
        <v>3.72</v>
      </c>
      <c r="Q23" s="10">
        <v>52.84</v>
      </c>
      <c r="R23" s="10">
        <v>59.26</v>
      </c>
      <c r="S23" s="10">
        <v>69.02</v>
      </c>
      <c r="T23" s="10">
        <v>105.58</v>
      </c>
      <c r="U23" s="10">
        <v>25.37</v>
      </c>
      <c r="V23" s="10">
        <v>93.62</v>
      </c>
      <c r="W23" s="17">
        <v>32.95</v>
      </c>
      <c r="X23" s="51">
        <f t="shared" si="4"/>
        <v>583</v>
      </c>
      <c r="Y23" s="25">
        <f t="shared" si="5"/>
        <v>12562.86</v>
      </c>
    </row>
    <row r="24" spans="1:25" ht="36.75" customHeight="1" thickBot="1">
      <c r="A24" s="36" t="s">
        <v>54</v>
      </c>
      <c r="B24" s="31" t="s">
        <v>64</v>
      </c>
      <c r="C24" s="43">
        <v>931.33</v>
      </c>
      <c r="D24" s="66">
        <v>4765.45</v>
      </c>
      <c r="E24" s="43">
        <v>4790.95</v>
      </c>
      <c r="F24" s="43">
        <v>6466.8</v>
      </c>
      <c r="G24" s="66">
        <v>5553.01</v>
      </c>
      <c r="H24" s="43">
        <v>7132.36</v>
      </c>
      <c r="I24" s="43">
        <v>6164.62</v>
      </c>
      <c r="J24" s="43">
        <v>6493.75</v>
      </c>
      <c r="K24" s="43">
        <v>7115.26</v>
      </c>
      <c r="L24" s="9">
        <f>25.17+243.88+300.39</f>
        <v>569.44</v>
      </c>
      <c r="M24" s="10">
        <f>23.72+339.79+291.2</f>
        <v>654.71</v>
      </c>
      <c r="N24" s="10">
        <f>303.7+20.63+226.54</f>
        <v>550.87</v>
      </c>
      <c r="O24" s="10">
        <f>22.07+250.47+804.78</f>
        <v>1077.32</v>
      </c>
      <c r="P24" s="10">
        <f>21.54+276.57+218.11</f>
        <v>516.22</v>
      </c>
      <c r="Q24" s="10">
        <f>25.03+192.49+386.2</f>
        <v>603.72</v>
      </c>
      <c r="R24" s="10">
        <f>24.07+326.02+175.89</f>
        <v>525.98</v>
      </c>
      <c r="S24" s="10">
        <f>22.05+200.4+280.39</f>
        <v>502.84000000000003</v>
      </c>
      <c r="T24" s="10">
        <f>16.05+176.23+255.31</f>
        <v>447.59000000000003</v>
      </c>
      <c r="U24" s="10">
        <f>16.27+285.51+725.46</f>
        <v>1027.24</v>
      </c>
      <c r="V24" s="10">
        <f>17.98+179.53+186.85</f>
        <v>384.36</v>
      </c>
      <c r="W24" s="17">
        <f>17.94+542.95+313.62</f>
        <v>874.5100000000001</v>
      </c>
      <c r="X24" s="51">
        <f t="shared" si="4"/>
        <v>7734.8</v>
      </c>
      <c r="Y24" s="25">
        <f t="shared" si="5"/>
        <v>57148.33000000001</v>
      </c>
    </row>
    <row r="25" spans="1:25" ht="20.25" customHeight="1" thickBot="1">
      <c r="A25" s="36" t="s">
        <v>55</v>
      </c>
      <c r="B25" s="31" t="s">
        <v>8</v>
      </c>
      <c r="C25" s="43">
        <v>26860.96</v>
      </c>
      <c r="D25" s="66">
        <v>47059.82</v>
      </c>
      <c r="E25" s="43">
        <v>60351.76</v>
      </c>
      <c r="F25" s="43">
        <v>63892.84</v>
      </c>
      <c r="G25" s="66">
        <v>65362.17</v>
      </c>
      <c r="H25" s="43">
        <v>74043.27</v>
      </c>
      <c r="I25" s="43">
        <v>69844.21</v>
      </c>
      <c r="J25" s="43">
        <v>69965.14</v>
      </c>
      <c r="K25" s="43">
        <v>74130.56</v>
      </c>
      <c r="L25" s="9">
        <f>8672.02-1781.75</f>
        <v>6890.27</v>
      </c>
      <c r="M25" s="10">
        <f>10030.88-3583.36</f>
        <v>6447.519999999999</v>
      </c>
      <c r="N25" s="10">
        <f>8055.61-1568.01</f>
        <v>6487.599999999999</v>
      </c>
      <c r="O25" s="10">
        <f>8751.38-2233.64</f>
        <v>6517.74</v>
      </c>
      <c r="P25" s="10">
        <f>8297.21-1457.97</f>
        <v>6839.239999999999</v>
      </c>
      <c r="Q25" s="10">
        <f>12580.74-5891.75</f>
        <v>6688.99</v>
      </c>
      <c r="R25" s="10">
        <f>9215.22-2259.27</f>
        <v>6955.949999999999</v>
      </c>
      <c r="S25" s="10">
        <f>8457.91-1768.34</f>
        <v>6689.57</v>
      </c>
      <c r="T25" s="10">
        <f>7914.49-1421.43</f>
        <v>6493.0599999999995</v>
      </c>
      <c r="U25" s="10">
        <f>10881.41-3966.72</f>
        <v>6914.6900000000005</v>
      </c>
      <c r="V25" s="10">
        <f>8416.49-1479.67</f>
        <v>6936.82</v>
      </c>
      <c r="W25" s="17">
        <f>8885.69-2010.23</f>
        <v>6875.460000000001</v>
      </c>
      <c r="X25" s="51">
        <f t="shared" si="4"/>
        <v>80736.90999999999</v>
      </c>
      <c r="Y25" s="25">
        <f t="shared" si="5"/>
        <v>632247.6399999998</v>
      </c>
    </row>
    <row r="26" spans="1:25" ht="13.5" customHeight="1" thickBot="1">
      <c r="A26" s="36" t="s">
        <v>56</v>
      </c>
      <c r="B26" s="32" t="s">
        <v>3</v>
      </c>
      <c r="C26" s="44">
        <v>4052.2</v>
      </c>
      <c r="D26" s="67">
        <v>7484.81</v>
      </c>
      <c r="E26" s="44">
        <v>5095.76</v>
      </c>
      <c r="F26" s="44">
        <v>4385.91</v>
      </c>
      <c r="G26" s="67">
        <v>5024.65</v>
      </c>
      <c r="H26" s="44">
        <v>4506.92</v>
      </c>
      <c r="I26" s="44">
        <v>4527.15</v>
      </c>
      <c r="J26" s="44">
        <v>5116.21</v>
      </c>
      <c r="K26" s="44">
        <v>5026.76</v>
      </c>
      <c r="L26" s="11">
        <f>5.08+357.27</f>
        <v>362.34999999999997</v>
      </c>
      <c r="M26" s="10">
        <f>4.48+294.37</f>
        <v>298.85</v>
      </c>
      <c r="N26" s="12">
        <f>4.99+337.87</f>
        <v>342.86</v>
      </c>
      <c r="O26" s="12">
        <f>7.34+395.01</f>
        <v>402.34999999999997</v>
      </c>
      <c r="P26" s="12">
        <f>4.74+311.98</f>
        <v>316.72</v>
      </c>
      <c r="Q26" s="12">
        <f>4.68+319.98</f>
        <v>324.66</v>
      </c>
      <c r="R26" s="12">
        <f>5.47+359.71</f>
        <v>365.18</v>
      </c>
      <c r="S26" s="12">
        <f>5.1+316.66</f>
        <v>321.76000000000005</v>
      </c>
      <c r="T26" s="12">
        <f>4.89+302.95</f>
        <v>307.84</v>
      </c>
      <c r="U26" s="12">
        <f>5.42+335.23</f>
        <v>340.65000000000003</v>
      </c>
      <c r="V26" s="12">
        <f>6.14+379.75</f>
        <v>385.89</v>
      </c>
      <c r="W26" s="18">
        <f>5.32+352.24</f>
        <v>357.56</v>
      </c>
      <c r="X26" s="51">
        <f t="shared" si="4"/>
        <v>4126.670000000001</v>
      </c>
      <c r="Y26" s="25">
        <f t="shared" si="5"/>
        <v>49347.04</v>
      </c>
    </row>
    <row r="27" spans="1:25" ht="13.5" customHeight="1" thickBot="1">
      <c r="A27" s="36"/>
      <c r="B27" s="39" t="s">
        <v>60</v>
      </c>
      <c r="C27" s="69"/>
      <c r="D27" s="70"/>
      <c r="E27" s="69"/>
      <c r="F27" s="69"/>
      <c r="G27" s="74">
        <f>G8*5%</f>
        <v>6761.218</v>
      </c>
      <c r="H27" s="72">
        <f>H8*5%</f>
        <v>6750.408</v>
      </c>
      <c r="I27" s="76">
        <f>I8*5%</f>
        <v>6743.232000000001</v>
      </c>
      <c r="J27" s="78">
        <f>J8*5%</f>
        <v>6435.009</v>
      </c>
      <c r="K27" s="78">
        <f>K8*5%</f>
        <v>6436.7570000000005</v>
      </c>
      <c r="L27" s="71">
        <f>(L8+L9+L10)*5%</f>
        <v>537.5169999999999</v>
      </c>
      <c r="M27" s="71">
        <f aca="true" t="shared" si="6" ref="M27:W27">(M8+M9+M10)*5%</f>
        <v>537.5169999999999</v>
      </c>
      <c r="N27" s="71">
        <f t="shared" si="6"/>
        <v>537.5169999999999</v>
      </c>
      <c r="O27" s="71">
        <f t="shared" si="6"/>
        <v>537.5169999999999</v>
      </c>
      <c r="P27" s="71">
        <f t="shared" si="6"/>
        <v>537.5169999999999</v>
      </c>
      <c r="Q27" s="71">
        <f t="shared" si="6"/>
        <v>537.5169999999999</v>
      </c>
      <c r="R27" s="71">
        <f t="shared" si="6"/>
        <v>538.1605</v>
      </c>
      <c r="S27" s="71">
        <f t="shared" si="6"/>
        <v>538.1605</v>
      </c>
      <c r="T27" s="71">
        <f t="shared" si="6"/>
        <v>538.1605</v>
      </c>
      <c r="U27" s="71">
        <f t="shared" si="6"/>
        <v>538.1605</v>
      </c>
      <c r="V27" s="71">
        <f t="shared" si="6"/>
        <v>538.1605</v>
      </c>
      <c r="W27" s="71">
        <f t="shared" si="6"/>
        <v>538.1605</v>
      </c>
      <c r="X27" s="72">
        <f t="shared" si="4"/>
        <v>6454.064999999999</v>
      </c>
      <c r="Y27" s="59"/>
    </row>
    <row r="28" spans="1:25" ht="12.75" customHeight="1" thickBot="1">
      <c r="A28" s="36" t="s">
        <v>38</v>
      </c>
      <c r="B28" s="57" t="s">
        <v>50</v>
      </c>
      <c r="C28" s="58"/>
      <c r="D28" s="68"/>
      <c r="E28" s="58"/>
      <c r="F28" s="58"/>
      <c r="G28" s="68"/>
      <c r="H28" s="58"/>
      <c r="I28" s="58"/>
      <c r="J28" s="75">
        <f aca="true" t="shared" si="7" ref="J28:W28">SUM(J8+J9+J10-J11)-J27</f>
        <v>9495.900999999974</v>
      </c>
      <c r="K28" s="75">
        <f>SUM(K8+K9+K10-K11)-K27</f>
        <v>-3951.76700000001</v>
      </c>
      <c r="L28" s="73">
        <f t="shared" si="7"/>
        <v>1540.802999999998</v>
      </c>
      <c r="M28" s="73">
        <f t="shared" si="7"/>
        <v>181.9429999999992</v>
      </c>
      <c r="N28" s="73">
        <f t="shared" si="7"/>
        <v>2157.212999999999</v>
      </c>
      <c r="O28" s="73">
        <f t="shared" si="7"/>
        <v>1461.4429999999993</v>
      </c>
      <c r="P28" s="73">
        <f t="shared" si="7"/>
        <v>1915.6129999999994</v>
      </c>
      <c r="Q28" s="73">
        <f t="shared" si="7"/>
        <v>-2367.917000000003</v>
      </c>
      <c r="R28" s="73">
        <f t="shared" si="7"/>
        <v>1009.8294999999998</v>
      </c>
      <c r="S28" s="73">
        <f t="shared" si="7"/>
        <v>1767.1394999999993</v>
      </c>
      <c r="T28" s="73">
        <f t="shared" si="7"/>
        <v>2310.5594999999994</v>
      </c>
      <c r="U28" s="73">
        <f t="shared" si="7"/>
        <v>-656.3605000000007</v>
      </c>
      <c r="V28" s="73">
        <f t="shared" si="7"/>
        <v>1808.5594999999994</v>
      </c>
      <c r="W28" s="73">
        <f t="shared" si="7"/>
        <v>1339.3594999999987</v>
      </c>
      <c r="X28" s="72">
        <f t="shared" si="4"/>
        <v>12468.184999999989</v>
      </c>
      <c r="Y28" s="59"/>
    </row>
    <row r="29" spans="1:25" ht="20.25" customHeight="1" thickBot="1">
      <c r="A29" s="96" t="s">
        <v>39</v>
      </c>
      <c r="B29" s="97" t="s">
        <v>22</v>
      </c>
      <c r="C29" s="98">
        <v>25113.69</v>
      </c>
      <c r="D29" s="99">
        <f>SUM(D8-D11)</f>
        <v>-18960.28999999998</v>
      </c>
      <c r="E29" s="100">
        <f>SUM(E8-E11)</f>
        <v>225.45999999996275</v>
      </c>
      <c r="F29" s="100">
        <f>SUM(F8-F11)</f>
        <v>26068.23999999999</v>
      </c>
      <c r="G29" s="101">
        <f>SUM(G8-G11)-G27</f>
        <v>7964.671999999985</v>
      </c>
      <c r="H29" s="102">
        <f>SUM(H8-H11)-H27</f>
        <v>-8572.61800000002</v>
      </c>
      <c r="I29" s="102">
        <f>SUM(I8-I11)-I27</f>
        <v>5059.468000000011</v>
      </c>
      <c r="J29" s="102">
        <f>SUM(J8+J9+J10-J11)-J27</f>
        <v>9495.900999999974</v>
      </c>
      <c r="K29" s="102">
        <f>SUM(K8+K9+K10-K11)-K27</f>
        <v>-3951.76700000001</v>
      </c>
      <c r="L29" s="103">
        <f>SUM(L8+L9+L10-L11)-L27</f>
        <v>1540.802999999998</v>
      </c>
      <c r="M29" s="104">
        <f>SUM(M28+L29)</f>
        <v>1722.7459999999974</v>
      </c>
      <c r="N29" s="104">
        <f aca="true" t="shared" si="8" ref="N29:W29">SUM(N28+M29)</f>
        <v>3879.958999999996</v>
      </c>
      <c r="O29" s="104">
        <f t="shared" si="8"/>
        <v>5341.4019999999955</v>
      </c>
      <c r="P29" s="104">
        <f t="shared" si="8"/>
        <v>7257.014999999995</v>
      </c>
      <c r="Q29" s="104">
        <f t="shared" si="8"/>
        <v>4889.097999999992</v>
      </c>
      <c r="R29" s="104">
        <f t="shared" si="8"/>
        <v>5898.927499999992</v>
      </c>
      <c r="S29" s="104">
        <f t="shared" si="8"/>
        <v>7666.066999999991</v>
      </c>
      <c r="T29" s="104">
        <f t="shared" si="8"/>
        <v>9976.626499999991</v>
      </c>
      <c r="U29" s="104">
        <f t="shared" si="8"/>
        <v>9320.26599999999</v>
      </c>
      <c r="V29" s="104">
        <f t="shared" si="8"/>
        <v>11128.82549999999</v>
      </c>
      <c r="W29" s="104">
        <f t="shared" si="8"/>
        <v>12468.184999999989</v>
      </c>
      <c r="X29" s="100"/>
      <c r="Y29" s="105"/>
    </row>
    <row r="30" spans="1:25" ht="22.5" customHeight="1" hidden="1" thickBot="1">
      <c r="A30" s="91" t="s">
        <v>40</v>
      </c>
      <c r="B30" s="33" t="s">
        <v>23</v>
      </c>
      <c r="C30" s="40">
        <v>25113.69</v>
      </c>
      <c r="D30" s="92">
        <f>SUM(D8-D11,C30)</f>
        <v>6153.40000000002</v>
      </c>
      <c r="E30" s="52">
        <f>SUM(E8-E11,D30)</f>
        <v>6378.859999999982</v>
      </c>
      <c r="F30" s="52">
        <f>SUM(F8-F11,E30)</f>
        <v>32447.099999999973</v>
      </c>
      <c r="G30" s="93">
        <f aca="true" t="shared" si="9" ref="G30:L30">SUM(G29+F30)</f>
        <v>40411.77199999996</v>
      </c>
      <c r="H30" s="76">
        <f t="shared" si="9"/>
        <v>31839.15399999994</v>
      </c>
      <c r="I30" s="76">
        <f t="shared" si="9"/>
        <v>36898.62199999995</v>
      </c>
      <c r="J30" s="76">
        <f t="shared" si="9"/>
        <v>46394.52299999993</v>
      </c>
      <c r="K30" s="76">
        <f t="shared" si="9"/>
        <v>42442.75599999992</v>
      </c>
      <c r="L30" s="76">
        <f t="shared" si="9"/>
        <v>43983.55899999992</v>
      </c>
      <c r="M30" s="94">
        <f>SUM(M28+L30)</f>
        <v>44165.50199999992</v>
      </c>
      <c r="N30" s="94">
        <f aca="true" t="shared" si="10" ref="N30:V30">SUM(N28+M30)</f>
        <v>46322.71499999992</v>
      </c>
      <c r="O30" s="94">
        <f t="shared" si="10"/>
        <v>47784.157999999916</v>
      </c>
      <c r="P30" s="94">
        <f t="shared" si="10"/>
        <v>49699.77099999991</v>
      </c>
      <c r="Q30" s="94">
        <f t="shared" si="10"/>
        <v>47331.85399999991</v>
      </c>
      <c r="R30" s="94">
        <f t="shared" si="10"/>
        <v>48341.68349999991</v>
      </c>
      <c r="S30" s="94">
        <f t="shared" si="10"/>
        <v>50108.82299999991</v>
      </c>
      <c r="T30" s="94">
        <f t="shared" si="10"/>
        <v>52419.382499999905</v>
      </c>
      <c r="U30" s="94">
        <f t="shared" si="10"/>
        <v>51763.0219999999</v>
      </c>
      <c r="V30" s="94">
        <f t="shared" si="10"/>
        <v>53571.5814999999</v>
      </c>
      <c r="W30" s="94">
        <f>SUM(W28+V30)</f>
        <v>54910.9409999999</v>
      </c>
      <c r="X30" s="52"/>
      <c r="Y30" s="95"/>
    </row>
    <row r="31" spans="1:25" ht="10.5" customHeight="1" hidden="1" thickBot="1">
      <c r="A31" s="36" t="s">
        <v>41</v>
      </c>
      <c r="B31" s="55" t="s">
        <v>7</v>
      </c>
      <c r="C31" s="40"/>
      <c r="D31" s="40"/>
      <c r="E31" s="61"/>
      <c r="F31" s="61"/>
      <c r="G31" s="61"/>
      <c r="H31" s="61"/>
      <c r="I31" s="61"/>
      <c r="J31" s="61"/>
      <c r="K31" s="61"/>
      <c r="L31" s="13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9"/>
      <c r="X31" s="51"/>
      <c r="Y31" s="46"/>
    </row>
    <row r="32" spans="1:25" ht="15" customHeight="1" hidden="1" thickBot="1">
      <c r="A32" s="37" t="s">
        <v>42</v>
      </c>
      <c r="B32" s="33" t="s">
        <v>24</v>
      </c>
      <c r="C32" s="40"/>
      <c r="D32" s="40"/>
      <c r="E32" s="61"/>
      <c r="F32" s="61"/>
      <c r="G32" s="61"/>
      <c r="H32" s="61"/>
      <c r="I32" s="61"/>
      <c r="J32" s="61"/>
      <c r="K32" s="61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9"/>
      <c r="X32" s="52"/>
      <c r="Y32" s="47"/>
    </row>
    <row r="33" spans="1:25" ht="24" customHeight="1" hidden="1" thickBot="1">
      <c r="A33" s="37" t="s">
        <v>45</v>
      </c>
      <c r="B33" s="34" t="s">
        <v>46</v>
      </c>
      <c r="C33" s="41"/>
      <c r="D33" s="41"/>
      <c r="E33" s="62"/>
      <c r="F33" s="62"/>
      <c r="G33" s="62"/>
      <c r="H33" s="62"/>
      <c r="I33" s="62"/>
      <c r="J33" s="62"/>
      <c r="K33" s="62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4">
        <f>SUM(W29-W31)</f>
        <v>12468.184999999989</v>
      </c>
      <c r="X33" s="53"/>
      <c r="Y33" s="48"/>
    </row>
    <row r="34" spans="1:25" ht="24" customHeight="1" hidden="1" thickBot="1">
      <c r="A34" s="56" t="s">
        <v>49</v>
      </c>
      <c r="B34" s="34" t="s">
        <v>25</v>
      </c>
      <c r="C34" s="41"/>
      <c r="D34" s="41"/>
      <c r="E34" s="62"/>
      <c r="F34" s="62"/>
      <c r="G34" s="62"/>
      <c r="H34" s="62"/>
      <c r="I34" s="62"/>
      <c r="J34" s="62"/>
      <c r="K34" s="62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4">
        <f>SUM(W30-W31)</f>
        <v>54910.9409999999</v>
      </c>
      <c r="X34" s="53"/>
      <c r="Y34" s="48"/>
    </row>
    <row r="35" spans="3:25" ht="9" customHeight="1" hidden="1">
      <c r="C35" s="20"/>
      <c r="D35" s="20"/>
      <c r="E35" s="20"/>
      <c r="F35" s="20"/>
      <c r="G35" s="20"/>
      <c r="H35" s="20"/>
      <c r="I35" s="20"/>
      <c r="J35" s="20"/>
      <c r="K35" s="20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2"/>
    </row>
    <row r="36" ht="15.75" customHeight="1" hidden="1"/>
    <row r="37" ht="1.5" customHeight="1" hidden="1"/>
    <row r="38" ht="12.75" hidden="1"/>
    <row r="39" ht="12.75" hidden="1"/>
    <row r="40" ht="13.5" thickTop="1">
      <c r="B40" t="s">
        <v>65</v>
      </c>
    </row>
    <row r="44" ht="12.75" customHeight="1"/>
    <row r="45" ht="12.75" customHeight="1"/>
  </sheetData>
  <sheetProtection/>
  <mergeCells count="5">
    <mergeCell ref="B4:Y4"/>
    <mergeCell ref="B5:Y5"/>
    <mergeCell ref="B3:Y3"/>
    <mergeCell ref="B1:N1"/>
    <mergeCell ref="B2:X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2020-02-20T07:44:31Z</cp:lastPrinted>
  <dcterms:created xsi:type="dcterms:W3CDTF">2011-06-16T11:06:26Z</dcterms:created>
  <dcterms:modified xsi:type="dcterms:W3CDTF">2020-03-11T08:22:16Z</dcterms:modified>
  <cp:category/>
  <cp:version/>
  <cp:contentType/>
  <cp:contentStatus/>
</cp:coreProperties>
</file>