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<sst xmlns="http://schemas.openxmlformats.org/spreadsheetml/2006/main" count="81" uniqueCount="80">
  <si>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СПРАВКА</t>
  </si>
  <si>
    <t xml:space="preserve">Начислено  </t>
  </si>
  <si>
    <t>Расходы</t>
  </si>
  <si>
    <t>Услуги РИРЦ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</si>
  <si>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</si>
  <si>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</si>
  <si>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</si>
  <si>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</si>
  <si>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</si>
  <si>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</si>
  <si>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</si>
  <si>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</si>
  <si>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</si>
  <si>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</si>
  <si>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</si>
  <si>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</si>
  <si>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</si>
  <si>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</si>
  <si>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</si>
  <si>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</si>
  <si>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</si>
  <si>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</si>
  <si>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</si>
  <si>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</si>
  <si>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</si>
  <si>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</si>
  <si>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</si>
  <si>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</si>
  <si>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</si>
  <si>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</si>
  <si>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</si>
  <si>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</si>
  <si>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</si>
  <si>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4.7</t>
  </si>
  <si>
    <t>4.8</t>
  </si>
  <si>
    <t>4.9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</si>
  <si>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</si>
  <si>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</si>
  <si>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</si>
  <si>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</si>
  <si>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</si>
  <si>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</si>
  <si>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</si>
  <si>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</si>
  <si>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</si>
  <si>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</si>
  <si>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Итого за 2011 г</t>
  </si>
  <si>
    <t>Результат за месяц</t>
  </si>
  <si>
    <t>Итого за 2012 г</t>
  </si>
  <si>
    <t>Благоустройство территории</t>
  </si>
  <si>
    <t>4.12</t>
  </si>
  <si>
    <t>4.13</t>
  </si>
  <si>
    <t xml:space="preserve">Материалы </t>
  </si>
  <si>
    <t>4.15</t>
  </si>
  <si>
    <t>4.16</t>
  </si>
  <si>
    <t>Итого за 2013 г</t>
  </si>
  <si>
    <t>Итого за 2014 г</t>
  </si>
  <si>
    <t>рентабельность 5%</t>
  </si>
  <si>
    <t>по жилому дому г. Унеча ул. Ленина д.87</t>
  </si>
  <si>
    <t>Итого за 2015 г</t>
  </si>
  <si>
    <t>Услуги сторонних организ.</t>
  </si>
  <si>
    <t>4.6</t>
  </si>
  <si>
    <t>Проверка вент.каналов</t>
  </si>
  <si>
    <t>Исполнитель  вед. экономист /Викторова Л.С./</t>
  </si>
  <si>
    <t xml:space="preserve">Услуги агентские,охрана труда,отопление, хол.вода, эл.энегрия   </t>
  </si>
  <si>
    <t>Итого за 2016 г</t>
  </si>
  <si>
    <t>Итого за 2017 г</t>
  </si>
  <si>
    <t>Начислено   СОИД</t>
  </si>
  <si>
    <t>Электроэнергия СОИД</t>
  </si>
  <si>
    <t>Холодная вода СОИД</t>
  </si>
  <si>
    <t>Горячая вода СОИД</t>
  </si>
  <si>
    <t>Канализация СОИД</t>
  </si>
  <si>
    <t>Транспортные(ГСМ,зап.части,амортизация,страхование )</t>
  </si>
  <si>
    <t>Итого за 2018 г</t>
  </si>
  <si>
    <t xml:space="preserve">Расходы на управление,аренда, связь </t>
  </si>
  <si>
    <t>Итого за 2019 г</t>
  </si>
  <si>
    <t>Всего за 2009-2019</t>
  </si>
  <si>
    <t>Вывоз ТБО (Утилизация)</t>
  </si>
  <si>
    <t>Дом по ул.Ленина д.87 вступил в ООО "Наш дом" с октября 2009 года     тариф 10,35 руб с января 2019 года тариф 9,6 руб.</t>
  </si>
  <si>
    <t>ООО "НД УНЕЧА"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</si>
</sst>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sz val="9"/>
      <color indexed="10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3" fillId="0" borderId="34" xfId="0" applyFont="1" applyBorder="1" applyAlignment="1">
      <alignment horizontal="left" vertical="center" wrapText="1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23" fillId="0" borderId="35" xfId="0" applyFont="1" applyBorder="1" applyAlignment="1">
      <alignment horizontal="left" vertical="center" wrapText="1"/>
    </xf>
    <xf numFmtId="0" fontId="21" fillId="0" borderId="35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32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0" fontId="23" fillId="0" borderId="26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1" fillId="0" borderId="41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42" xfId="0" applyNumberFormat="1" applyFont="1" applyBorder="1" applyAlignment="1">
      <alignment horizontal="right" wrapText="1"/>
    </xf>
    <xf numFmtId="2" fontId="25" fillId="0" borderId="43" xfId="0" applyNumberFormat="1" applyFont="1" applyBorder="1" applyAlignment="1">
      <alignment/>
    </xf>
    <xf numFmtId="0" fontId="26" fillId="0" borderId="37" xfId="0" applyFont="1" applyBorder="1" applyAlignment="1">
      <alignment wrapText="1"/>
    </xf>
    <xf numFmtId="0" fontId="26" fillId="0" borderId="31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1" fillId="0" borderId="48" xfId="0" applyNumberFormat="1" applyFont="1" applyBorder="1" applyAlignment="1">
      <alignment horizontal="right" wrapText="1"/>
    </xf>
    <xf numFmtId="2" fontId="21" fillId="0" borderId="49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21" fillId="0" borderId="50" xfId="0" applyNumberFormat="1" applyFont="1" applyBorder="1" applyAlignment="1">
      <alignment/>
    </xf>
    <xf numFmtId="0" fontId="27" fillId="0" borderId="51" xfId="0" applyFont="1" applyBorder="1" applyAlignment="1">
      <alignment/>
    </xf>
    <xf numFmtId="2" fontId="27" fillId="0" borderId="26" xfId="0" applyNumberFormat="1" applyFont="1" applyBorder="1" applyAlignment="1">
      <alignment/>
    </xf>
    <xf numFmtId="2" fontId="27" fillId="0" borderId="43" xfId="0" applyNumberFormat="1" applyFont="1" applyBorder="1" applyAlignment="1">
      <alignment/>
    </xf>
    <xf numFmtId="0" fontId="19" fillId="0" borderId="48" xfId="0" applyFont="1" applyBorder="1" applyAlignment="1">
      <alignment horizontal="center" vertical="center" wrapText="1"/>
    </xf>
    <xf numFmtId="2" fontId="21" fillId="0" borderId="52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52" xfId="0" applyNumberFormat="1" applyFont="1" applyBorder="1" applyAlignment="1">
      <alignment horizontal="right" wrapText="1"/>
    </xf>
    <xf numFmtId="0" fontId="26" fillId="0" borderId="38" xfId="0" applyFont="1" applyBorder="1" applyAlignment="1">
      <alignment wrapText="1"/>
    </xf>
    <xf numFmtId="2" fontId="21" fillId="0" borderId="42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11" xfId="0" applyFont="1" applyBorder="1" applyAlignment="1">
      <alignment/>
    </xf>
    <xf numFmtId="2" fontId="29" fillId="0" borderId="26" xfId="0" applyNumberFormat="1" applyFont="1" applyBorder="1" applyAlignment="1">
      <alignment/>
    </xf>
    <xf numFmtId="0" fontId="22" fillId="0" borderId="0" xfId="0" applyFont="1" applyAlignment="1">
      <alignment/>
    </xf>
    <xf numFmtId="2" fontId="28" fillId="0" borderId="35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53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0" fontId="21" fillId="0" borderId="25" xfId="0" applyFont="1" applyBorder="1" applyAlignment="1">
      <alignment/>
    </xf>
    <xf numFmtId="2" fontId="21" fillId="0" borderId="25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0" fontId="25" fillId="0" borderId="30" xfId="0" applyFont="1" applyBorder="1" applyAlignment="1">
      <alignment/>
    </xf>
    <xf numFmtId="49" fontId="22" fillId="0" borderId="35" xfId="0" applyNumberFormat="1" applyFont="1" applyBorder="1" applyAlignment="1">
      <alignment horizontal="center"/>
    </xf>
    <xf numFmtId="0" fontId="28" fillId="0" borderId="26" xfId="0" applyFont="1" applyBorder="1" applyAlignment="1">
      <alignment wrapText="1"/>
    </xf>
    <xf numFmtId="0" fontId="28" fillId="0" borderId="34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2" fontId="28" fillId="0" borderId="34" xfId="0" applyNumberFormat="1" applyFont="1" applyBorder="1" applyAlignment="1">
      <alignment/>
    </xf>
    <xf numFmtId="2" fontId="28" fillId="0" borderId="11" xfId="0" applyNumberFormat="1" applyFont="1" applyBorder="1" applyAlignment="1">
      <alignment/>
    </xf>
    <xf numFmtId="2" fontId="28" fillId="0" borderId="10" xfId="0" applyNumberFormat="1" applyFont="1" applyBorder="1" applyAlignment="1">
      <alignment/>
    </xf>
    <xf numFmtId="0" fontId="22" fillId="0" borderId="2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tabSelected="1" zoomScalePageLayoutView="0" workbookViewId="0" topLeftCell="A4">
      <selection activeCell="V21" sqref="U21:V21"/>
    </sheetView>
  </sheetViews>
  <sheetFormatPr defaultColWidth="9.00390625" defaultRowHeight="12.75"/>
  <cols>
    <col min="1" max="1" width="3.625" style="25" customWidth="1"/>
    <col min="2" max="2" width="22.125" style="0" customWidth="1"/>
    <col min="3" max="3" width="7.25390625" style="0" hidden="1" customWidth="1"/>
    <col min="4" max="4" width="7.125" style="0" hidden="1" customWidth="1"/>
    <col min="5" max="5" width="8.25390625" style="0" hidden="1" customWidth="1"/>
    <col min="6" max="6" width="10.25390625" style="0" hidden="1" customWidth="1"/>
    <col min="7" max="7" width="9.875" style="0" hidden="1" customWidth="1"/>
    <col min="8" max="9" width="8.875" style="0" hidden="1" customWidth="1"/>
    <col min="10" max="10" width="9.125" style="0" hidden="1" customWidth="1"/>
    <col min="11" max="11" width="9.00390625" style="0" hidden="1" customWidth="1"/>
    <col min="12" max="12" width="8.875" style="0" hidden="1" customWidth="1"/>
    <col min="13" max="13" width="8.375" style="0" customWidth="1"/>
    <col min="14" max="14" width="8.75390625" style="0" customWidth="1"/>
    <col min="15" max="15" width="8.25390625" style="0" customWidth="1"/>
    <col min="16" max="16" width="8.375" style="0" customWidth="1"/>
    <col min="17" max="17" width="8.625" style="0" customWidth="1"/>
    <col min="18" max="18" width="8.375" style="0" customWidth="1"/>
    <col min="19" max="19" width="8.125" style="0" customWidth="1"/>
    <col min="20" max="21" width="8.625" style="0" customWidth="1"/>
    <col min="22" max="23" width="8.25390625" style="0" customWidth="1"/>
    <col min="24" max="24" width="8.00390625" style="0" customWidth="1"/>
    <col min="25" max="25" width="9.00390625" style="0" customWidth="1"/>
    <col min="26" max="26" width="10.125" style="0" customWidth="1"/>
  </cols>
  <sheetData>
    <row r="1" spans="2:31" ht="12.75" customHeight="1">
      <c r="B1" s="96" t="s">
        <v>79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96" t="s">
        <v>78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97"/>
      <c r="Y2" s="97"/>
      <c r="Z2" s="4"/>
      <c r="AA2" s="4"/>
      <c r="AB2" s="4"/>
      <c r="AC2" s="4"/>
      <c r="AD2" s="4"/>
      <c r="AE2" s="4"/>
    </row>
    <row r="3" spans="2:31" ht="12.75" customHeight="1">
      <c r="B3" s="95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3"/>
      <c r="AB3" s="3"/>
      <c r="AC3" s="3"/>
      <c r="AD3" s="3"/>
      <c r="AE3" s="3"/>
    </row>
    <row r="4" spans="2:31" ht="15" customHeight="1">
      <c r="B4" s="94" t="s">
        <v>9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2"/>
      <c r="AC4" s="2"/>
      <c r="AD4" s="2"/>
      <c r="AE4" s="2"/>
    </row>
    <row r="5" spans="2:31" ht="16.5" customHeight="1" thickBot="1">
      <c r="B5" s="94" t="s">
        <v>58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28.5" customHeight="1" thickBot="1">
      <c r="A7" s="34" t="s">
        <v>26</v>
      </c>
      <c r="B7" s="26" t="s">
        <v>6</v>
      </c>
      <c r="C7" s="37" t="s">
        <v>42</v>
      </c>
      <c r="D7" s="40" t="s">
        <v>43</v>
      </c>
      <c r="E7" s="54" t="s">
        <v>46</v>
      </c>
      <c r="F7" s="54" t="s">
        <v>48</v>
      </c>
      <c r="G7" s="54" t="s">
        <v>55</v>
      </c>
      <c r="H7" s="79" t="s">
        <v>56</v>
      </c>
      <c r="I7" s="54" t="s">
        <v>59</v>
      </c>
      <c r="J7" s="54" t="s">
        <v>65</v>
      </c>
      <c r="K7" s="54" t="s">
        <v>66</v>
      </c>
      <c r="L7" s="54" t="s">
        <v>73</v>
      </c>
      <c r="M7" s="6" t="s">
        <v>10</v>
      </c>
      <c r="N7" s="5" t="s">
        <v>11</v>
      </c>
      <c r="O7" s="5" t="s">
        <v>12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5" t="s">
        <v>18</v>
      </c>
      <c r="V7" s="5" t="s">
        <v>19</v>
      </c>
      <c r="W7" s="5" t="s">
        <v>21</v>
      </c>
      <c r="X7" s="15" t="s">
        <v>20</v>
      </c>
      <c r="Y7" s="54" t="s">
        <v>75</v>
      </c>
      <c r="Z7" s="50" t="s">
        <v>76</v>
      </c>
      <c r="AA7" s="1"/>
      <c r="AB7" s="1"/>
      <c r="AC7" s="1"/>
      <c r="AD7" s="1"/>
      <c r="AE7" s="1"/>
    </row>
    <row r="8" spans="1:26" ht="13.5" thickBot="1">
      <c r="A8" s="35" t="s">
        <v>27</v>
      </c>
      <c r="B8" s="27" t="s">
        <v>1</v>
      </c>
      <c r="C8" s="63">
        <v>81050.16</v>
      </c>
      <c r="D8" s="64">
        <v>324283.44</v>
      </c>
      <c r="E8" s="65">
        <v>358979.59</v>
      </c>
      <c r="F8" s="64">
        <v>365277.3</v>
      </c>
      <c r="G8" s="64">
        <v>364592.94</v>
      </c>
      <c r="H8" s="65">
        <v>364413.75</v>
      </c>
      <c r="I8" s="64">
        <v>370920.34</v>
      </c>
      <c r="J8" s="64">
        <v>365068.89</v>
      </c>
      <c r="K8" s="64">
        <v>365015.03</v>
      </c>
      <c r="L8" s="64">
        <v>364981.89</v>
      </c>
      <c r="M8" s="7">
        <v>28208.64</v>
      </c>
      <c r="N8" s="7">
        <v>28208.64</v>
      </c>
      <c r="O8" s="7">
        <v>28208.64</v>
      </c>
      <c r="P8" s="7">
        <v>28208.64</v>
      </c>
      <c r="Q8" s="7">
        <v>28208.64</v>
      </c>
      <c r="R8" s="7">
        <v>28208.64</v>
      </c>
      <c r="S8" s="7">
        <v>28208.64</v>
      </c>
      <c r="T8" s="7">
        <v>28208.64</v>
      </c>
      <c r="U8" s="7">
        <v>28208.64</v>
      </c>
      <c r="V8" s="7">
        <v>28198.08</v>
      </c>
      <c r="W8" s="7">
        <v>28198.08</v>
      </c>
      <c r="X8" s="7">
        <v>28198.08</v>
      </c>
      <c r="Y8" s="58">
        <f>SUM(M8:X8)</f>
        <v>338472.0000000001</v>
      </c>
      <c r="Z8" s="76">
        <f>SUM(C8:X8)</f>
        <v>3663055.330000002</v>
      </c>
    </row>
    <row r="9" spans="1:26" ht="13.5" thickBot="1">
      <c r="A9" s="35"/>
      <c r="B9" s="27" t="s">
        <v>67</v>
      </c>
      <c r="C9" s="63"/>
      <c r="D9" s="83"/>
      <c r="E9" s="65"/>
      <c r="F9" s="83"/>
      <c r="G9" s="83"/>
      <c r="H9" s="65"/>
      <c r="I9" s="83"/>
      <c r="J9" s="83"/>
      <c r="K9" s="83">
        <v>25635.69</v>
      </c>
      <c r="L9" s="83">
        <v>17168.95</v>
      </c>
      <c r="M9" s="7">
        <f aca="true" t="shared" si="0" ref="M9:R9">81.13+118.26+376.92</f>
        <v>576.31</v>
      </c>
      <c r="N9" s="7">
        <f t="shared" si="0"/>
        <v>576.31</v>
      </c>
      <c r="O9" s="7">
        <f t="shared" si="0"/>
        <v>576.31</v>
      </c>
      <c r="P9" s="7">
        <f t="shared" si="0"/>
        <v>576.31</v>
      </c>
      <c r="Q9" s="7">
        <f t="shared" si="0"/>
        <v>576.31</v>
      </c>
      <c r="R9" s="7">
        <f t="shared" si="0"/>
        <v>576.31</v>
      </c>
      <c r="S9" s="8">
        <f>82.61+131.65+383.72</f>
        <v>597.98</v>
      </c>
      <c r="T9" s="8">
        <f>82.61+131.65+383.72</f>
        <v>597.98</v>
      </c>
      <c r="U9" s="8">
        <f>82.61+131.65+383.72</f>
        <v>597.98</v>
      </c>
      <c r="V9" s="8">
        <f>82.61+131.62+383.79</f>
        <v>598.02</v>
      </c>
      <c r="W9" s="8">
        <f>82.61+131.62+383.79</f>
        <v>598.02</v>
      </c>
      <c r="X9" s="8">
        <f>82.61+131.62+383.79</f>
        <v>598.02</v>
      </c>
      <c r="Y9" s="58">
        <f>SUM(M9:X9)</f>
        <v>7045.860000000001</v>
      </c>
      <c r="Z9" s="76">
        <f>SUM(C9:X9)</f>
        <v>49850.499999999985</v>
      </c>
    </row>
    <row r="10" spans="1:26" s="92" customFormat="1" ht="13.5" thickBot="1">
      <c r="A10" s="85" t="s">
        <v>28</v>
      </c>
      <c r="B10" s="86" t="s">
        <v>2</v>
      </c>
      <c r="C10" s="87">
        <f aca="true" t="shared" si="1" ref="C10:M10">SUM(C11:C26)</f>
        <v>50714.81</v>
      </c>
      <c r="D10" s="88">
        <f t="shared" si="1"/>
        <v>249091.24999999994</v>
      </c>
      <c r="E10" s="87">
        <f t="shared" si="1"/>
        <v>307925.02</v>
      </c>
      <c r="F10" s="88">
        <f t="shared" si="1"/>
        <v>324223.16000000003</v>
      </c>
      <c r="G10" s="88">
        <f t="shared" si="1"/>
        <v>288706.54000000004</v>
      </c>
      <c r="H10" s="89">
        <f>SUM(H11:H26)</f>
        <v>303521.39</v>
      </c>
      <c r="I10" s="88">
        <f>SUM(I11:I26)</f>
        <v>402424.82</v>
      </c>
      <c r="J10" s="88">
        <f>SUM(J11:J26)</f>
        <v>340439.5</v>
      </c>
      <c r="K10" s="88">
        <f>SUM(K11:K26)</f>
        <v>376111.60000000003</v>
      </c>
      <c r="L10" s="88">
        <f t="shared" si="1"/>
        <v>375681.01999999996</v>
      </c>
      <c r="M10" s="90">
        <f t="shared" si="1"/>
        <v>23771.609999999997</v>
      </c>
      <c r="N10" s="90">
        <f aca="true" t="shared" si="2" ref="N10:X10">SUM(N11:N26)</f>
        <v>23487.05</v>
      </c>
      <c r="O10" s="90">
        <f t="shared" si="2"/>
        <v>21201.38</v>
      </c>
      <c r="P10" s="90">
        <f t="shared" si="2"/>
        <v>22549.88</v>
      </c>
      <c r="Q10" s="90">
        <f t="shared" si="2"/>
        <v>25459.37</v>
      </c>
      <c r="R10" s="90">
        <f t="shared" si="2"/>
        <v>21096.690000000002</v>
      </c>
      <c r="S10" s="90">
        <f t="shared" si="2"/>
        <v>28657.17</v>
      </c>
      <c r="T10" s="90">
        <f t="shared" si="2"/>
        <v>28725.31</v>
      </c>
      <c r="U10" s="90">
        <f t="shared" si="2"/>
        <v>31363.18</v>
      </c>
      <c r="V10" s="90">
        <f t="shared" si="2"/>
        <v>25378.07</v>
      </c>
      <c r="W10" s="90">
        <f t="shared" si="2"/>
        <v>23359.43</v>
      </c>
      <c r="X10" s="87">
        <f t="shared" si="2"/>
        <v>49185.68</v>
      </c>
      <c r="Y10" s="88">
        <f>SUM(M10:X10)</f>
        <v>324234.81999999995</v>
      </c>
      <c r="Z10" s="91">
        <f>SUM(C10:X10)</f>
        <v>3343073.93</v>
      </c>
    </row>
    <row r="11" spans="1:26" ht="13.5" thickBot="1">
      <c r="A11" s="35" t="s">
        <v>29</v>
      </c>
      <c r="B11" s="29" t="s">
        <v>77</v>
      </c>
      <c r="C11" s="44">
        <v>13815.03</v>
      </c>
      <c r="D11" s="45">
        <v>59059.8</v>
      </c>
      <c r="E11" s="66">
        <v>60125.44</v>
      </c>
      <c r="F11" s="45">
        <v>61015.93</v>
      </c>
      <c r="G11" s="45">
        <v>68098.56</v>
      </c>
      <c r="H11" s="66">
        <v>80038.43</v>
      </c>
      <c r="I11" s="45">
        <v>76642.65</v>
      </c>
      <c r="J11" s="45">
        <v>76601.75</v>
      </c>
      <c r="K11" s="45">
        <v>76011.81</v>
      </c>
      <c r="L11" s="45">
        <v>73901.35</v>
      </c>
      <c r="M11" s="7"/>
      <c r="N11" s="8"/>
      <c r="O11" s="8"/>
      <c r="P11" s="8">
        <v>151.46</v>
      </c>
      <c r="Q11" s="8">
        <v>115.72</v>
      </c>
      <c r="R11" s="8">
        <v>47.49</v>
      </c>
      <c r="S11" s="8">
        <v>127.21</v>
      </c>
      <c r="T11" s="8">
        <v>91.68</v>
      </c>
      <c r="U11" s="8">
        <v>22.97</v>
      </c>
      <c r="V11" s="8">
        <v>81.45</v>
      </c>
      <c r="W11" s="8">
        <v>66.67</v>
      </c>
      <c r="X11" s="16">
        <v>44.78</v>
      </c>
      <c r="Y11" s="55">
        <f aca="true" t="shared" si="3" ref="Y11:Y28">SUM(M11:X11)</f>
        <v>749.43</v>
      </c>
      <c r="Z11" s="77">
        <f aca="true" t="shared" si="4" ref="Z11:Z26">SUM(C11:X11)</f>
        <v>646060.1799999998</v>
      </c>
    </row>
    <row r="12" spans="1:26" ht="12.75" customHeight="1" thickBot="1">
      <c r="A12" s="35" t="s">
        <v>30</v>
      </c>
      <c r="B12" s="30" t="s">
        <v>60</v>
      </c>
      <c r="C12" s="46">
        <v>28885.67</v>
      </c>
      <c r="D12" s="47">
        <v>79441.19</v>
      </c>
      <c r="E12" s="67">
        <v>30664</v>
      </c>
      <c r="F12" s="47">
        <f>12695.14+1926.4</f>
        <v>14621.539999999999</v>
      </c>
      <c r="G12" s="47">
        <v>2524.61</v>
      </c>
      <c r="H12" s="67"/>
      <c r="I12" s="47">
        <v>15686.33</v>
      </c>
      <c r="J12" s="47">
        <v>8204.37</v>
      </c>
      <c r="K12" s="47">
        <v>1640</v>
      </c>
      <c r="L12" s="47">
        <v>1410</v>
      </c>
      <c r="M12" s="9"/>
      <c r="N12" s="10"/>
      <c r="O12" s="10"/>
      <c r="P12" s="10"/>
      <c r="Q12" s="10">
        <v>2800</v>
      </c>
      <c r="R12" s="10"/>
      <c r="S12" s="10">
        <v>6620</v>
      </c>
      <c r="T12" s="10"/>
      <c r="U12" s="10"/>
      <c r="V12" s="10"/>
      <c r="W12" s="10"/>
      <c r="X12" s="17">
        <v>18560</v>
      </c>
      <c r="Y12" s="55">
        <f t="shared" si="3"/>
        <v>27980</v>
      </c>
      <c r="Z12" s="77">
        <f>SUM(C12:X12)</f>
        <v>211057.70999999996</v>
      </c>
    </row>
    <row r="13" spans="1:26" ht="15.75" customHeight="1" thickBot="1">
      <c r="A13" s="35" t="s">
        <v>31</v>
      </c>
      <c r="B13" s="28" t="s">
        <v>4</v>
      </c>
      <c r="C13" s="46">
        <v>0</v>
      </c>
      <c r="D13" s="47">
        <v>0</v>
      </c>
      <c r="E13" s="67">
        <v>3909.81</v>
      </c>
      <c r="F13" s="47">
        <v>0</v>
      </c>
      <c r="G13" s="47">
        <v>0</v>
      </c>
      <c r="H13" s="67">
        <v>7835.5</v>
      </c>
      <c r="I13" s="47">
        <v>0</v>
      </c>
      <c r="J13" s="47">
        <v>0</v>
      </c>
      <c r="K13" s="47">
        <v>8419.7</v>
      </c>
      <c r="L13" s="47">
        <v>7760</v>
      </c>
      <c r="M13" s="9"/>
      <c r="N13" s="10"/>
      <c r="O13" s="10"/>
      <c r="P13" s="10"/>
      <c r="Q13" s="10"/>
      <c r="R13" s="10"/>
      <c r="S13" s="10"/>
      <c r="T13" s="10">
        <v>7581.6</v>
      </c>
      <c r="U13" s="10"/>
      <c r="V13" s="10"/>
      <c r="W13" s="10"/>
      <c r="X13" s="17"/>
      <c r="Y13" s="55">
        <f t="shared" si="3"/>
        <v>7581.6</v>
      </c>
      <c r="Z13" s="77">
        <f t="shared" si="4"/>
        <v>35506.61</v>
      </c>
    </row>
    <row r="14" spans="1:26" ht="15.75" customHeight="1" thickBot="1">
      <c r="A14" s="35" t="s">
        <v>32</v>
      </c>
      <c r="B14" s="30" t="s">
        <v>52</v>
      </c>
      <c r="C14" s="46">
        <v>523.69</v>
      </c>
      <c r="D14" s="47">
        <v>8836.02</v>
      </c>
      <c r="E14" s="67">
        <v>24663.79</v>
      </c>
      <c r="F14" s="47">
        <v>40946.44</v>
      </c>
      <c r="G14" s="47">
        <v>8078.95</v>
      </c>
      <c r="H14" s="67">
        <v>5479.08</v>
      </c>
      <c r="I14" s="47">
        <v>51896.23</v>
      </c>
      <c r="J14" s="47">
        <v>19141.49</v>
      </c>
      <c r="K14" s="47">
        <v>30915.4</v>
      </c>
      <c r="L14" s="47">
        <v>27860.34</v>
      </c>
      <c r="M14" s="9">
        <f>1171+220</f>
        <v>1391</v>
      </c>
      <c r="N14" s="10">
        <v>1740</v>
      </c>
      <c r="O14" s="8">
        <v>399</v>
      </c>
      <c r="P14" s="10">
        <v>264.4</v>
      </c>
      <c r="Q14" s="10">
        <v>985.91</v>
      </c>
      <c r="R14" s="10">
        <v>322.6</v>
      </c>
      <c r="S14" s="10">
        <v>200</v>
      </c>
      <c r="T14" s="10">
        <v>385</v>
      </c>
      <c r="U14" s="10">
        <f>7289.9+1700</f>
        <v>8989.9</v>
      </c>
      <c r="V14" s="10">
        <f>1445+350</f>
        <v>1795</v>
      </c>
      <c r="W14" s="10">
        <v>1366.93</v>
      </c>
      <c r="X14" s="17">
        <v>6322.21</v>
      </c>
      <c r="Y14" s="55">
        <f t="shared" si="3"/>
        <v>24161.95</v>
      </c>
      <c r="Z14" s="77">
        <f t="shared" si="4"/>
        <v>242503.37999999998</v>
      </c>
    </row>
    <row r="15" spans="1:26" ht="12" customHeight="1" thickBot="1">
      <c r="A15" s="35" t="s">
        <v>61</v>
      </c>
      <c r="B15" s="30" t="s">
        <v>62</v>
      </c>
      <c r="C15" s="46"/>
      <c r="D15" s="47"/>
      <c r="E15" s="67"/>
      <c r="F15" s="47"/>
      <c r="G15" s="47"/>
      <c r="H15" s="67"/>
      <c r="I15" s="47">
        <v>2800</v>
      </c>
      <c r="J15" s="47">
        <v>3200</v>
      </c>
      <c r="K15" s="47">
        <v>2700</v>
      </c>
      <c r="L15" s="47">
        <v>3100</v>
      </c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7"/>
      <c r="Y15" s="55">
        <f>SUM(M15:X15)</f>
        <v>0</v>
      </c>
      <c r="Z15" s="77">
        <f>SUM(C15:X15)</f>
        <v>11800</v>
      </c>
    </row>
    <row r="16" spans="1:26" ht="24.75" customHeight="1" thickBot="1">
      <c r="A16" s="35" t="s">
        <v>33</v>
      </c>
      <c r="B16" s="30" t="s">
        <v>49</v>
      </c>
      <c r="C16" s="46">
        <v>0</v>
      </c>
      <c r="D16" s="47">
        <v>0</v>
      </c>
      <c r="E16" s="67">
        <v>0</v>
      </c>
      <c r="F16" s="47">
        <v>256</v>
      </c>
      <c r="G16" s="47">
        <v>0</v>
      </c>
      <c r="H16" s="67">
        <v>62.04</v>
      </c>
      <c r="I16" s="47">
        <v>8802.96</v>
      </c>
      <c r="J16" s="47">
        <v>5811</v>
      </c>
      <c r="K16" s="47">
        <v>1227.35</v>
      </c>
      <c r="L16" s="47">
        <v>92</v>
      </c>
      <c r="M16" s="9">
        <v>234.72</v>
      </c>
      <c r="N16" s="10">
        <v>120.01</v>
      </c>
      <c r="O16" s="10"/>
      <c r="P16" s="10"/>
      <c r="Q16" s="10"/>
      <c r="R16" s="10"/>
      <c r="S16" s="10"/>
      <c r="T16" s="10"/>
      <c r="U16" s="10"/>
      <c r="V16" s="10"/>
      <c r="W16" s="10"/>
      <c r="X16" s="17"/>
      <c r="Y16" s="55">
        <f t="shared" si="3"/>
        <v>354.73</v>
      </c>
      <c r="Z16" s="77">
        <f t="shared" si="4"/>
        <v>16606.079999999998</v>
      </c>
    </row>
    <row r="17" spans="1:26" ht="15" customHeight="1" thickBot="1">
      <c r="A17" s="35" t="s">
        <v>34</v>
      </c>
      <c r="B17" s="30" t="s">
        <v>68</v>
      </c>
      <c r="C17" s="46">
        <v>3245.69</v>
      </c>
      <c r="D17" s="47">
        <v>9581.96</v>
      </c>
      <c r="E17" s="67">
        <v>8929.2</v>
      </c>
      <c r="F17" s="47">
        <v>5122.7</v>
      </c>
      <c r="G17" s="47">
        <v>0</v>
      </c>
      <c r="H17" s="67"/>
      <c r="I17" s="47">
        <v>0</v>
      </c>
      <c r="J17" s="47">
        <v>0</v>
      </c>
      <c r="K17" s="47">
        <v>18863.12</v>
      </c>
      <c r="L17" s="47">
        <v>10408.21</v>
      </c>
      <c r="M17" s="9"/>
      <c r="N17" s="9"/>
      <c r="O17" s="9"/>
      <c r="P17" s="9"/>
      <c r="Q17" s="9"/>
      <c r="R17" s="9"/>
      <c r="S17" s="10"/>
      <c r="T17" s="10"/>
      <c r="U17" s="10"/>
      <c r="V17" s="10"/>
      <c r="W17" s="10"/>
      <c r="X17" s="17"/>
      <c r="Y17" s="55">
        <f t="shared" si="3"/>
        <v>0</v>
      </c>
      <c r="Z17" s="77">
        <f t="shared" si="4"/>
        <v>56150.88</v>
      </c>
    </row>
    <row r="18" spans="1:26" ht="15" customHeight="1" thickBot="1">
      <c r="A18" s="35"/>
      <c r="B18" s="30" t="s">
        <v>69</v>
      </c>
      <c r="C18" s="46"/>
      <c r="D18" s="47"/>
      <c r="E18" s="67"/>
      <c r="F18" s="47"/>
      <c r="G18" s="47"/>
      <c r="H18" s="67"/>
      <c r="I18" s="47"/>
      <c r="J18" s="47"/>
      <c r="K18" s="47">
        <v>939.25</v>
      </c>
      <c r="L18" s="47">
        <v>970.26</v>
      </c>
      <c r="M18" s="9">
        <v>81.1</v>
      </c>
      <c r="N18" s="9">
        <v>81.1</v>
      </c>
      <c r="O18" s="9">
        <v>81.1</v>
      </c>
      <c r="P18" s="9">
        <v>81.1</v>
      </c>
      <c r="Q18" s="9">
        <v>81.1</v>
      </c>
      <c r="R18" s="9">
        <v>81.1</v>
      </c>
      <c r="S18" s="9">
        <v>81.1</v>
      </c>
      <c r="T18" s="10">
        <v>84.08</v>
      </c>
      <c r="U18" s="10">
        <v>82.59</v>
      </c>
      <c r="V18" s="10">
        <v>82.59</v>
      </c>
      <c r="W18" s="10">
        <v>82.59</v>
      </c>
      <c r="X18" s="10">
        <v>82.59</v>
      </c>
      <c r="Y18" s="55">
        <f>SUM(M18:X18)</f>
        <v>982.1400000000002</v>
      </c>
      <c r="Z18" s="77">
        <f>SUM(C18:X18)</f>
        <v>2891.65</v>
      </c>
    </row>
    <row r="19" spans="1:26" ht="15" customHeight="1" thickBot="1">
      <c r="A19" s="35"/>
      <c r="B19" s="30" t="s">
        <v>70</v>
      </c>
      <c r="C19" s="46"/>
      <c r="D19" s="47"/>
      <c r="E19" s="67"/>
      <c r="F19" s="47"/>
      <c r="G19" s="47"/>
      <c r="H19" s="67"/>
      <c r="I19" s="47"/>
      <c r="J19" s="47"/>
      <c r="K19" s="47">
        <v>5785.28</v>
      </c>
      <c r="L19" s="47">
        <v>4185.17</v>
      </c>
      <c r="M19" s="9">
        <v>376.9</v>
      </c>
      <c r="N19" s="9">
        <v>376.9</v>
      </c>
      <c r="O19" s="9">
        <v>376.9</v>
      </c>
      <c r="P19" s="9">
        <v>376.9</v>
      </c>
      <c r="Q19" s="9">
        <v>376.9</v>
      </c>
      <c r="R19" s="9">
        <v>376.9</v>
      </c>
      <c r="S19" s="9">
        <v>350.1</v>
      </c>
      <c r="T19" s="10">
        <v>383.77</v>
      </c>
      <c r="U19" s="10">
        <v>383.77</v>
      </c>
      <c r="V19" s="10">
        <v>383.77</v>
      </c>
      <c r="W19" s="10">
        <v>383.77</v>
      </c>
      <c r="X19" s="10">
        <v>383.77</v>
      </c>
      <c r="Y19" s="55">
        <f>SUM(M19:X19)</f>
        <v>4530.35</v>
      </c>
      <c r="Z19" s="77">
        <f>SUM(C19:X19)</f>
        <v>14500.800000000001</v>
      </c>
    </row>
    <row r="20" spans="1:26" ht="15" customHeight="1" thickBot="1">
      <c r="A20" s="35"/>
      <c r="B20" s="30" t="s">
        <v>71</v>
      </c>
      <c r="C20" s="46"/>
      <c r="D20" s="47"/>
      <c r="E20" s="67"/>
      <c r="F20" s="47"/>
      <c r="G20" s="47"/>
      <c r="H20" s="67"/>
      <c r="I20" s="47"/>
      <c r="J20" s="47"/>
      <c r="K20" s="47">
        <v>817.92</v>
      </c>
      <c r="L20" s="47">
        <v>1412.94</v>
      </c>
      <c r="M20" s="9">
        <v>118.25</v>
      </c>
      <c r="N20" s="9">
        <v>118.25</v>
      </c>
      <c r="O20" s="9">
        <v>118.25</v>
      </c>
      <c r="P20" s="9">
        <v>118.25</v>
      </c>
      <c r="Q20" s="9">
        <v>118.25</v>
      </c>
      <c r="R20" s="9">
        <v>118.25</v>
      </c>
      <c r="S20" s="9">
        <v>118.25</v>
      </c>
      <c r="T20" s="10">
        <v>131.57</v>
      </c>
      <c r="U20" s="10">
        <v>131.57</v>
      </c>
      <c r="V20" s="10">
        <v>131.57</v>
      </c>
      <c r="W20" s="10">
        <v>131.57</v>
      </c>
      <c r="X20" s="10">
        <v>131.57</v>
      </c>
      <c r="Y20" s="55">
        <f>SUM(M20:X20)</f>
        <v>1485.5999999999997</v>
      </c>
      <c r="Z20" s="77">
        <f>SUM(C20:X20)</f>
        <v>3716.460000000001</v>
      </c>
    </row>
    <row r="21" spans="1:26" ht="14.25" customHeight="1" thickBot="1">
      <c r="A21" s="35" t="s">
        <v>35</v>
      </c>
      <c r="B21" s="30" t="s">
        <v>5</v>
      </c>
      <c r="C21" s="46">
        <v>382.96</v>
      </c>
      <c r="D21" s="47">
        <v>2390.99</v>
      </c>
      <c r="E21" s="67">
        <v>595.38</v>
      </c>
      <c r="F21" s="47">
        <v>767.86</v>
      </c>
      <c r="G21" s="47">
        <v>846.84</v>
      </c>
      <c r="H21" s="67">
        <v>931.91</v>
      </c>
      <c r="I21" s="47">
        <v>727.16</v>
      </c>
      <c r="J21" s="47">
        <v>763.33</v>
      </c>
      <c r="K21" s="47">
        <v>1350.87</v>
      </c>
      <c r="L21" s="47">
        <v>1072.84</v>
      </c>
      <c r="M21" s="9"/>
      <c r="N21" s="10"/>
      <c r="O21" s="10">
        <v>274.48</v>
      </c>
      <c r="P21" s="10"/>
      <c r="Q21" s="10">
        <v>306.8</v>
      </c>
      <c r="R21" s="10"/>
      <c r="S21" s="10"/>
      <c r="T21" s="10"/>
      <c r="U21" s="10">
        <v>306.77</v>
      </c>
      <c r="V21" s="10"/>
      <c r="W21" s="10">
        <v>258.34</v>
      </c>
      <c r="X21" s="17"/>
      <c r="Y21" s="55">
        <f t="shared" si="3"/>
        <v>1146.3899999999999</v>
      </c>
      <c r="Z21" s="77">
        <f t="shared" si="4"/>
        <v>10976.529999999999</v>
      </c>
    </row>
    <row r="22" spans="1:26" ht="22.5" customHeight="1" thickBot="1">
      <c r="A22" s="35" t="s">
        <v>36</v>
      </c>
      <c r="B22" s="30" t="s">
        <v>72</v>
      </c>
      <c r="C22" s="46">
        <v>0</v>
      </c>
      <c r="D22" s="47">
        <v>4000.69</v>
      </c>
      <c r="E22" s="67">
        <v>14299.54</v>
      </c>
      <c r="F22" s="47">
        <v>19911.73</v>
      </c>
      <c r="G22" s="47">
        <v>16442.98</v>
      </c>
      <c r="H22" s="67">
        <v>11955.94</v>
      </c>
      <c r="I22" s="47">
        <v>14104.35</v>
      </c>
      <c r="J22" s="47">
        <v>14938.46</v>
      </c>
      <c r="K22" s="47">
        <v>15174.53</v>
      </c>
      <c r="L22" s="47">
        <v>15945.04</v>
      </c>
      <c r="M22" s="9">
        <v>1284.25</v>
      </c>
      <c r="N22" s="10">
        <v>1346.2</v>
      </c>
      <c r="O22" s="10">
        <v>1068.89</v>
      </c>
      <c r="P22" s="10">
        <v>1280.15</v>
      </c>
      <c r="Q22" s="10">
        <v>1064.96</v>
      </c>
      <c r="R22" s="10">
        <v>816.55</v>
      </c>
      <c r="S22" s="10">
        <v>853.44</v>
      </c>
      <c r="T22" s="10">
        <v>723.35</v>
      </c>
      <c r="U22" s="10">
        <v>813.35</v>
      </c>
      <c r="V22" s="10">
        <v>1683.65</v>
      </c>
      <c r="W22" s="10">
        <v>1064.61</v>
      </c>
      <c r="X22" s="17">
        <v>905.77</v>
      </c>
      <c r="Y22" s="55">
        <f t="shared" si="3"/>
        <v>12905.170000000002</v>
      </c>
      <c r="Z22" s="77">
        <f t="shared" si="4"/>
        <v>139678.42999999996</v>
      </c>
    </row>
    <row r="23" spans="1:26" ht="22.5" customHeight="1" thickBot="1">
      <c r="A23" s="35" t="s">
        <v>50</v>
      </c>
      <c r="B23" s="30" t="s">
        <v>74</v>
      </c>
      <c r="C23" s="46">
        <v>1515.3</v>
      </c>
      <c r="D23" s="47">
        <v>6964.84</v>
      </c>
      <c r="E23" s="67">
        <v>8332.13</v>
      </c>
      <c r="F23" s="47">
        <v>2331.95</v>
      </c>
      <c r="G23" s="47">
        <v>1654.44</v>
      </c>
      <c r="H23" s="67">
        <v>3596.63</v>
      </c>
      <c r="I23" s="47">
        <v>2431.28</v>
      </c>
      <c r="J23" s="47">
        <v>2125.14</v>
      </c>
      <c r="K23" s="47">
        <v>1659.85</v>
      </c>
      <c r="L23" s="47">
        <v>1608.42</v>
      </c>
      <c r="M23" s="9">
        <v>101.61</v>
      </c>
      <c r="N23" s="10">
        <v>87.61</v>
      </c>
      <c r="O23" s="10">
        <v>76.35</v>
      </c>
      <c r="P23" s="10">
        <v>88.83</v>
      </c>
      <c r="Q23" s="10">
        <v>9.38</v>
      </c>
      <c r="R23" s="10">
        <v>133.14</v>
      </c>
      <c r="S23" s="10">
        <v>149.32</v>
      </c>
      <c r="T23" s="10">
        <v>173.92</v>
      </c>
      <c r="U23" s="10">
        <v>258.49</v>
      </c>
      <c r="V23" s="10">
        <v>63.89</v>
      </c>
      <c r="W23" s="10">
        <v>235.82</v>
      </c>
      <c r="X23" s="17">
        <v>82.99</v>
      </c>
      <c r="Y23" s="55">
        <f t="shared" si="3"/>
        <v>1461.3500000000001</v>
      </c>
      <c r="Z23" s="77">
        <f t="shared" si="4"/>
        <v>33681.329999999994</v>
      </c>
    </row>
    <row r="24" spans="1:26" ht="36.75" customHeight="1" thickBot="1">
      <c r="A24" s="35" t="s">
        <v>51</v>
      </c>
      <c r="B24" s="30" t="s">
        <v>64</v>
      </c>
      <c r="C24" s="46">
        <v>0</v>
      </c>
      <c r="D24" s="47">
        <v>2145.77</v>
      </c>
      <c r="E24" s="67">
        <v>13963.68</v>
      </c>
      <c r="F24" s="47">
        <v>12120.57</v>
      </c>
      <c r="G24" s="47">
        <v>16230.33</v>
      </c>
      <c r="H24" s="67">
        <v>13945.95</v>
      </c>
      <c r="I24" s="47">
        <v>18112.4</v>
      </c>
      <c r="J24" s="47">
        <v>15543.89</v>
      </c>
      <c r="K24" s="47">
        <v>16371.59</v>
      </c>
      <c r="L24" s="47">
        <v>18133.12</v>
      </c>
      <c r="M24" s="9">
        <f>63.43+614.53+756.94</f>
        <v>1434.9</v>
      </c>
      <c r="N24" s="10">
        <f>59.78+856.22+733.78</f>
        <v>1649.78</v>
      </c>
      <c r="O24" s="10">
        <f>765.28+51.99+570.86</f>
        <v>1388.13</v>
      </c>
      <c r="P24" s="10">
        <f>55.6+631.15+2027.93</f>
        <v>2714.6800000000003</v>
      </c>
      <c r="Q24" s="10">
        <f>54.27+696.9+549.61</f>
        <v>1300.78</v>
      </c>
      <c r="R24" s="10">
        <f>63.08+485.04+973.18</f>
        <v>1521.3</v>
      </c>
      <c r="S24" s="10">
        <f>60.65+821.51+443.22</f>
        <v>1325.38</v>
      </c>
      <c r="T24" s="10">
        <f>55.56+504.99+706.54</f>
        <v>1267.09</v>
      </c>
      <c r="U24" s="10">
        <f>40.44+449.11+643.35</f>
        <v>1132.9</v>
      </c>
      <c r="V24" s="10">
        <f>40.97+719.17+1827.37</f>
        <v>2587.5099999999998</v>
      </c>
      <c r="W24" s="10">
        <f>45.29+452.21+470.65</f>
        <v>968.15</v>
      </c>
      <c r="X24" s="17">
        <f>45.19+1367.65+789.98</f>
        <v>2202.82</v>
      </c>
      <c r="Y24" s="55">
        <f t="shared" si="3"/>
        <v>19493.420000000002</v>
      </c>
      <c r="Z24" s="77">
        <f t="shared" si="4"/>
        <v>146060.72</v>
      </c>
    </row>
    <row r="25" spans="1:26" ht="15.75" customHeight="1" thickBot="1">
      <c r="A25" s="35" t="s">
        <v>53</v>
      </c>
      <c r="B25" s="30" t="s">
        <v>8</v>
      </c>
      <c r="C25" s="46">
        <v>1452.84</v>
      </c>
      <c r="D25" s="47">
        <v>64752.97</v>
      </c>
      <c r="E25" s="67">
        <v>120891.1</v>
      </c>
      <c r="F25" s="47">
        <v>152251.09</v>
      </c>
      <c r="G25" s="47">
        <v>160355.32</v>
      </c>
      <c r="H25" s="67">
        <v>164067.03</v>
      </c>
      <c r="I25" s="47">
        <v>196745.67</v>
      </c>
      <c r="J25" s="47">
        <v>180352.17</v>
      </c>
      <c r="K25" s="47">
        <v>179886.26</v>
      </c>
      <c r="L25" s="47">
        <v>193345.27</v>
      </c>
      <c r="M25" s="9">
        <f>23771.61-6116.15</f>
        <v>17655.46</v>
      </c>
      <c r="N25" s="10">
        <f>23487.05-6483.23</f>
        <v>17003.82</v>
      </c>
      <c r="O25" s="10">
        <f>21201.38-4853.59</f>
        <v>16347.79</v>
      </c>
      <c r="P25" s="10">
        <f>22549.88-6126.14</f>
        <v>16423.74</v>
      </c>
      <c r="Q25" s="10">
        <f>25459.37-8225.51</f>
        <v>17233.86</v>
      </c>
      <c r="R25" s="10">
        <f>21096.69-4427.73</f>
        <v>16668.96</v>
      </c>
      <c r="S25" s="10">
        <f>28657.17-11129.2</f>
        <v>17527.969999999998</v>
      </c>
      <c r="T25" s="10">
        <f>28725.31-11868.59</f>
        <v>16856.72</v>
      </c>
      <c r="U25" s="10">
        <f>31363.18-13177.09</f>
        <v>18186.09</v>
      </c>
      <c r="V25" s="10">
        <f>25378.07-7960.61</f>
        <v>17417.46</v>
      </c>
      <c r="W25" s="10">
        <f>23359.43-5574.23</f>
        <v>17785.2</v>
      </c>
      <c r="X25" s="17">
        <f>30625.68-11254</f>
        <v>19371.68</v>
      </c>
      <c r="Y25" s="55">
        <f t="shared" si="3"/>
        <v>208478.75</v>
      </c>
      <c r="Z25" s="77">
        <f t="shared" si="4"/>
        <v>1622578.4700000002</v>
      </c>
    </row>
    <row r="26" spans="1:26" ht="13.5" customHeight="1" thickBot="1">
      <c r="A26" s="35" t="s">
        <v>54</v>
      </c>
      <c r="B26" s="31" t="s">
        <v>3</v>
      </c>
      <c r="C26" s="48">
        <v>893.63</v>
      </c>
      <c r="D26" s="49">
        <v>11917.02</v>
      </c>
      <c r="E26" s="68">
        <v>21550.95</v>
      </c>
      <c r="F26" s="49">
        <v>14877.35</v>
      </c>
      <c r="G26" s="49">
        <v>14474.51</v>
      </c>
      <c r="H26" s="68">
        <v>15608.88</v>
      </c>
      <c r="I26" s="49">
        <v>14475.79</v>
      </c>
      <c r="J26" s="49">
        <v>13757.9</v>
      </c>
      <c r="K26" s="49">
        <v>14348.67</v>
      </c>
      <c r="L26" s="49">
        <v>14476.06</v>
      </c>
      <c r="M26" s="11">
        <f>20.12+1073.3</f>
        <v>1093.4199999999998</v>
      </c>
      <c r="N26" s="12">
        <f>19.29+944.09</f>
        <v>963.38</v>
      </c>
      <c r="O26" s="12">
        <f>21.43+1049.06</f>
        <v>1070.49</v>
      </c>
      <c r="P26" s="12">
        <f>20.98+1029.39</f>
        <v>1050.3700000000001</v>
      </c>
      <c r="Q26" s="12">
        <f>25.55+1040.16</f>
        <v>1065.71</v>
      </c>
      <c r="R26" s="12">
        <f>4.3+20.52+985.58</f>
        <v>1010.4000000000001</v>
      </c>
      <c r="S26" s="12">
        <f>11.2+26.9+1266.3</f>
        <v>1304.3999999999999</v>
      </c>
      <c r="T26" s="12">
        <f>3.2+21.77+1021.56</f>
        <v>1046.53</v>
      </c>
      <c r="U26" s="12">
        <f>1.6+22+1031.18</f>
        <v>1054.78</v>
      </c>
      <c r="V26" s="10">
        <f>24.94+1126.24</f>
        <v>1151.18</v>
      </c>
      <c r="W26" s="12">
        <f>24.24+991.54</f>
        <v>1015.78</v>
      </c>
      <c r="X26" s="18">
        <f>23.61+1073.89</f>
        <v>1097.5</v>
      </c>
      <c r="Y26" s="55">
        <f t="shared" si="3"/>
        <v>12923.940000000002</v>
      </c>
      <c r="Z26" s="77">
        <f t="shared" si="4"/>
        <v>149304.69999999998</v>
      </c>
    </row>
    <row r="27" spans="1:26" ht="13.5" customHeight="1" thickBot="1">
      <c r="A27" s="35"/>
      <c r="B27" s="41" t="s">
        <v>57</v>
      </c>
      <c r="C27" s="70"/>
      <c r="D27" s="71"/>
      <c r="E27" s="72"/>
      <c r="F27" s="71"/>
      <c r="G27" s="71"/>
      <c r="H27" s="81">
        <f>H8*5%</f>
        <v>18220.6875</v>
      </c>
      <c r="I27" s="74">
        <f>I8*5%</f>
        <v>18546.017000000003</v>
      </c>
      <c r="J27" s="74">
        <f>J8*5%</f>
        <v>18253.4445</v>
      </c>
      <c r="K27" s="84">
        <f>K8*5%</f>
        <v>18250.751500000002</v>
      </c>
      <c r="L27" s="84">
        <f>SUM(L8+L9)*5%</f>
        <v>19107.542</v>
      </c>
      <c r="M27" s="73">
        <f>SUM(M8+M9)*5%</f>
        <v>1439.2475000000002</v>
      </c>
      <c r="N27" s="73">
        <f aca="true" t="shared" si="5" ref="N27:X27">SUM(N8+N9)*5%</f>
        <v>1439.2475000000002</v>
      </c>
      <c r="O27" s="73">
        <f t="shared" si="5"/>
        <v>1439.2475000000002</v>
      </c>
      <c r="P27" s="73">
        <f t="shared" si="5"/>
        <v>1439.2475000000002</v>
      </c>
      <c r="Q27" s="73">
        <f t="shared" si="5"/>
        <v>1439.2475000000002</v>
      </c>
      <c r="R27" s="73">
        <f t="shared" si="5"/>
        <v>1439.2475000000002</v>
      </c>
      <c r="S27" s="73">
        <f t="shared" si="5"/>
        <v>1440.3310000000001</v>
      </c>
      <c r="T27" s="73">
        <f t="shared" si="5"/>
        <v>1440.3310000000001</v>
      </c>
      <c r="U27" s="73">
        <f t="shared" si="5"/>
        <v>1440.3310000000001</v>
      </c>
      <c r="V27" s="73">
        <f t="shared" si="5"/>
        <v>1439.8050000000003</v>
      </c>
      <c r="W27" s="73">
        <f t="shared" si="5"/>
        <v>1439.8050000000003</v>
      </c>
      <c r="X27" s="73">
        <f t="shared" si="5"/>
        <v>1439.8050000000003</v>
      </c>
      <c r="Y27" s="74">
        <f t="shared" si="3"/>
        <v>17275.893000000004</v>
      </c>
      <c r="Z27" s="78"/>
    </row>
    <row r="28" spans="1:26" ht="13.5" customHeight="1" thickBot="1">
      <c r="A28" s="98" t="s">
        <v>37</v>
      </c>
      <c r="B28" s="59" t="s">
        <v>47</v>
      </c>
      <c r="C28" s="60"/>
      <c r="D28" s="61"/>
      <c r="E28" s="69"/>
      <c r="F28" s="61"/>
      <c r="G28" s="61"/>
      <c r="H28" s="69"/>
      <c r="I28" s="82"/>
      <c r="J28" s="82"/>
      <c r="K28" s="80">
        <f aca="true" t="shared" si="6" ref="K28:X28">SUM(K8+K9-K10)-K27</f>
        <v>-3711.631500000007</v>
      </c>
      <c r="L28" s="80">
        <f>SUM(L8+L9-L10)-L27</f>
        <v>-12637.721999999936</v>
      </c>
      <c r="M28" s="75">
        <f t="shared" si="6"/>
        <v>3574.0925000000034</v>
      </c>
      <c r="N28" s="75">
        <f t="shared" si="6"/>
        <v>3858.652500000001</v>
      </c>
      <c r="O28" s="75">
        <f t="shared" si="6"/>
        <v>6144.322499999999</v>
      </c>
      <c r="P28" s="75">
        <f t="shared" si="6"/>
        <v>4795.822499999999</v>
      </c>
      <c r="Q28" s="75">
        <f t="shared" si="6"/>
        <v>1886.3325000000016</v>
      </c>
      <c r="R28" s="75">
        <f t="shared" si="6"/>
        <v>6249.012499999998</v>
      </c>
      <c r="S28" s="75">
        <f t="shared" si="6"/>
        <v>-1290.8809999999994</v>
      </c>
      <c r="T28" s="75">
        <f t="shared" si="6"/>
        <v>-1359.0210000000025</v>
      </c>
      <c r="U28" s="75">
        <f t="shared" si="6"/>
        <v>-3996.8910000000014</v>
      </c>
      <c r="V28" s="75">
        <f t="shared" si="6"/>
        <v>1978.2250000000022</v>
      </c>
      <c r="W28" s="75">
        <f t="shared" si="6"/>
        <v>3996.8650000000016</v>
      </c>
      <c r="X28" s="75">
        <f t="shared" si="6"/>
        <v>-21829.385</v>
      </c>
      <c r="Y28" s="80">
        <f t="shared" si="3"/>
        <v>4007.147000000001</v>
      </c>
      <c r="Z28" s="62"/>
    </row>
    <row r="29" spans="1:26" ht="20.25" customHeight="1" thickBot="1">
      <c r="A29" s="105" t="s">
        <v>38</v>
      </c>
      <c r="B29" s="106" t="s">
        <v>22</v>
      </c>
      <c r="C29" s="107">
        <v>30335.35</v>
      </c>
      <c r="D29" s="108">
        <v>77883.56</v>
      </c>
      <c r="E29" s="87">
        <f>SUM(E8-E10)</f>
        <v>51054.57000000001</v>
      </c>
      <c r="F29" s="88">
        <f>SUM(F8-F10)</f>
        <v>41054.139999999956</v>
      </c>
      <c r="G29" s="88">
        <f>SUM(G8-G10)</f>
        <v>75886.39999999997</v>
      </c>
      <c r="H29" s="109">
        <f>SUM(H8-H10)-H27</f>
        <v>42671.672499999986</v>
      </c>
      <c r="I29" s="93">
        <f>SUM(I8-I10)-I27</f>
        <v>-50050.49699999999</v>
      </c>
      <c r="J29" s="93">
        <f>SUM(J8-J10)-J27</f>
        <v>6375.9455000000125</v>
      </c>
      <c r="K29" s="93">
        <f>SUM(K8+K9-K10)-K27</f>
        <v>-3711.631500000007</v>
      </c>
      <c r="L29" s="93">
        <f>SUM(L8+L9-L10)-L27</f>
        <v>-12637.721999999936</v>
      </c>
      <c r="M29" s="110">
        <f>SUM(M8+M9-M10)-M27</f>
        <v>3574.0925000000034</v>
      </c>
      <c r="N29" s="111">
        <f>SUM(N28+M29)</f>
        <v>7432.745000000004</v>
      </c>
      <c r="O29" s="111">
        <f aca="true" t="shared" si="7" ref="O29:X29">SUM(O28+N29)</f>
        <v>13577.067500000005</v>
      </c>
      <c r="P29" s="111">
        <f t="shared" si="7"/>
        <v>18372.890000000003</v>
      </c>
      <c r="Q29" s="111">
        <f t="shared" si="7"/>
        <v>20259.222500000003</v>
      </c>
      <c r="R29" s="111">
        <f t="shared" si="7"/>
        <v>26508.235</v>
      </c>
      <c r="S29" s="111">
        <f t="shared" si="7"/>
        <v>25217.354</v>
      </c>
      <c r="T29" s="111">
        <f t="shared" si="7"/>
        <v>23858.333</v>
      </c>
      <c r="U29" s="111">
        <f t="shared" si="7"/>
        <v>19861.441999999995</v>
      </c>
      <c r="V29" s="111">
        <f t="shared" si="7"/>
        <v>21839.666999999998</v>
      </c>
      <c r="W29" s="111">
        <f t="shared" si="7"/>
        <v>25836.532</v>
      </c>
      <c r="X29" s="111">
        <f t="shared" si="7"/>
        <v>4007.147000000001</v>
      </c>
      <c r="Y29" s="88"/>
      <c r="Z29" s="112"/>
    </row>
    <row r="30" spans="1:26" ht="24" customHeight="1" hidden="1" thickBot="1">
      <c r="A30" s="99" t="s">
        <v>39</v>
      </c>
      <c r="B30" s="42" t="s">
        <v>23</v>
      </c>
      <c r="C30" s="38">
        <v>30335.35</v>
      </c>
      <c r="D30" s="42">
        <v>108218.9</v>
      </c>
      <c r="E30" s="100">
        <f>SUM(E8-E10,D30)</f>
        <v>159273.47</v>
      </c>
      <c r="F30" s="56">
        <f>SUM(F8-F10,E30)</f>
        <v>200327.60999999996</v>
      </c>
      <c r="G30" s="56">
        <f>SUM(G8-G10,F30)</f>
        <v>276214.0099999999</v>
      </c>
      <c r="H30" s="101">
        <f aca="true" t="shared" si="8" ref="H30:M30">SUM(H29+G30)</f>
        <v>318885.6824999999</v>
      </c>
      <c r="I30" s="102">
        <f t="shared" si="8"/>
        <v>268835.1854999999</v>
      </c>
      <c r="J30" s="102">
        <f t="shared" si="8"/>
        <v>275211.13099999994</v>
      </c>
      <c r="K30" s="102">
        <f t="shared" si="8"/>
        <v>271499.4994999999</v>
      </c>
      <c r="L30" s="102">
        <f t="shared" si="8"/>
        <v>258861.77749999997</v>
      </c>
      <c r="M30" s="102">
        <f t="shared" si="8"/>
        <v>262435.87</v>
      </c>
      <c r="N30" s="103">
        <f>SUM(N28+M30)</f>
        <v>266294.5225</v>
      </c>
      <c r="O30" s="103">
        <f>SUM(O28+N30)</f>
        <v>272438.84500000003</v>
      </c>
      <c r="P30" s="103">
        <f aca="true" t="shared" si="9" ref="P30:W30">SUM(P28+O30)</f>
        <v>277234.66750000004</v>
      </c>
      <c r="Q30" s="103">
        <f t="shared" si="9"/>
        <v>279121.00000000006</v>
      </c>
      <c r="R30" s="103">
        <f t="shared" si="9"/>
        <v>285370.01250000007</v>
      </c>
      <c r="S30" s="103">
        <f t="shared" si="9"/>
        <v>284079.1315000001</v>
      </c>
      <c r="T30" s="103">
        <f t="shared" si="9"/>
        <v>282720.11050000007</v>
      </c>
      <c r="U30" s="103">
        <f t="shared" si="9"/>
        <v>278723.21950000006</v>
      </c>
      <c r="V30" s="103">
        <f t="shared" si="9"/>
        <v>280701.44450000004</v>
      </c>
      <c r="W30" s="103">
        <f t="shared" si="9"/>
        <v>284698.30950000003</v>
      </c>
      <c r="X30" s="103">
        <f>SUM(X28+W30)</f>
        <v>262868.9245</v>
      </c>
      <c r="Y30" s="56"/>
      <c r="Z30" s="104"/>
    </row>
    <row r="31" spans="1:26" ht="9.75" customHeight="1" hidden="1" thickBot="1">
      <c r="A31" s="35" t="s">
        <v>39</v>
      </c>
      <c r="B31" s="41" t="s">
        <v>7</v>
      </c>
      <c r="C31" s="38"/>
      <c r="D31" s="42"/>
      <c r="E31" s="42"/>
      <c r="F31" s="38"/>
      <c r="G31" s="38"/>
      <c r="H31" s="38"/>
      <c r="I31" s="38"/>
      <c r="J31" s="38"/>
      <c r="K31" s="38"/>
      <c r="L31" s="38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9"/>
      <c r="Y31" s="55"/>
      <c r="Z31" s="51"/>
    </row>
    <row r="32" spans="1:26" ht="15" customHeight="1" hidden="1" thickBot="1">
      <c r="A32" s="35" t="s">
        <v>40</v>
      </c>
      <c r="B32" s="32" t="s">
        <v>24</v>
      </c>
      <c r="C32" s="38"/>
      <c r="D32" s="42"/>
      <c r="E32" s="42"/>
      <c r="F32" s="38"/>
      <c r="G32" s="38"/>
      <c r="H32" s="38"/>
      <c r="I32" s="38"/>
      <c r="J32" s="38"/>
      <c r="K32" s="38"/>
      <c r="L32" s="38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9"/>
      <c r="Y32" s="56"/>
      <c r="Z32" s="52"/>
    </row>
    <row r="33" spans="1:26" ht="24" customHeight="1" hidden="1" thickBot="1">
      <c r="A33" s="36" t="s">
        <v>41</v>
      </c>
      <c r="B33" s="33" t="s">
        <v>45</v>
      </c>
      <c r="C33" s="39"/>
      <c r="D33" s="43"/>
      <c r="E33" s="43"/>
      <c r="F33" s="39"/>
      <c r="G33" s="39"/>
      <c r="H33" s="39"/>
      <c r="I33" s="39"/>
      <c r="J33" s="39"/>
      <c r="K33" s="39"/>
      <c r="L33" s="39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>
        <f>SUM(X29-X31)</f>
        <v>4007.147000000001</v>
      </c>
      <c r="Y33" s="57"/>
      <c r="Z33" s="53"/>
    </row>
    <row r="34" spans="1:26" ht="23.25" customHeight="1" hidden="1" thickBot="1">
      <c r="A34" s="36" t="s">
        <v>44</v>
      </c>
      <c r="B34" s="33" t="s">
        <v>25</v>
      </c>
      <c r="C34" s="39"/>
      <c r="D34" s="43"/>
      <c r="E34" s="43"/>
      <c r="F34" s="39"/>
      <c r="G34" s="39"/>
      <c r="H34" s="39"/>
      <c r="I34" s="39"/>
      <c r="J34" s="39"/>
      <c r="K34" s="39"/>
      <c r="L34" s="39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>
        <f>SUM(X30-X31)</f>
        <v>262868.9245</v>
      </c>
      <c r="Y34" s="57"/>
      <c r="Z34" s="53"/>
    </row>
    <row r="35" spans="3:26" ht="6.75" customHeight="1" hidden="1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</row>
    <row r="36" ht="16.5" customHeight="1" hidden="1"/>
    <row r="37" ht="2.25" customHeight="1" hidden="1"/>
    <row r="38" ht="12.75" hidden="1"/>
    <row r="39" ht="12.75" hidden="1"/>
    <row r="40" ht="13.5" customHeight="1">
      <c r="B40" t="s">
        <v>63</v>
      </c>
    </row>
    <row r="44" ht="12.75" customHeight="1"/>
    <row r="45" ht="12.75" customHeight="1"/>
  </sheetData>
  <sheetProtection/>
  <mergeCells count="5">
    <mergeCell ref="B4:Z4"/>
    <mergeCell ref="B5:Z5"/>
    <mergeCell ref="B3:Z3"/>
    <mergeCell ref="B1:O1"/>
    <mergeCell ref="B2:Y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2020-02-20T08:00:37Z</cp:lastPrinted>
  <dcterms:created xsi:type="dcterms:W3CDTF">2011-06-16T11:06:26Z</dcterms:created>
  <dcterms:modified xsi:type="dcterms:W3CDTF">2020-03-11T08:24:09Z</dcterms:modified>
  <cp:category/>
  <cp:version/>
  <cp:contentType/>
  <cp:contentStatus/>
</cp:coreProperties>
</file>