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<sst xmlns="http://schemas.openxmlformats.org/spreadsheetml/2006/main" count="79" uniqueCount="76">
  <si>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</si>
  <si>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</si>
  <si>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</si>
  <si>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</si>
  <si>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</si>
  <si>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</si>
  <si>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</si>
  <si>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</si>
  <si>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</si>
  <si>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</si>
  <si>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</si>
  <si>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</si>
  <si>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</si>
  <si>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</si>
  <si>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</si>
  <si>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</si>
  <si>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</si>
  <si>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</si>
  <si>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</si>
  <si>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</si>
  <si>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</si>
  <si>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</si>
  <si>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</si>
  <si>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</si>
  <si>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4</t>
  </si>
  <si>
    <t>4.1</t>
  </si>
  <si>
    <t>4.2</t>
  </si>
  <si>
    <t>4.3</t>
  </si>
  <si>
    <t>4.5</t>
  </si>
  <si>
    <t>4.7</t>
  </si>
  <si>
    <t>4.8</t>
  </si>
  <si>
    <t>4.9</t>
  </si>
  <si>
    <t>4.11</t>
  </si>
  <si>
    <t>6</t>
  </si>
  <si>
    <t>7</t>
  </si>
  <si>
    <t>8</t>
  </si>
  <si>
    <t>9</t>
  </si>
  <si>
    <t>10</t>
  </si>
  <si>
    <t>Благоустройство  территории</t>
  </si>
  <si>
    <t>11</t>
  </si>
  <si>
    <t>Результат за месяц</t>
  </si>
  <si>
    <t>Исполнитель /Викторова Л.С/</t>
  </si>
  <si>
    <t>4,12</t>
  </si>
  <si>
    <t>4.13</t>
  </si>
  <si>
    <t xml:space="preserve">Материалы </t>
  </si>
  <si>
    <t>5</t>
  </si>
  <si>
    <t>рентабельность 5%</t>
  </si>
  <si>
    <t>Итого за 2015</t>
  </si>
  <si>
    <t>Услуги сторонних орган.</t>
  </si>
  <si>
    <t>4.4</t>
  </si>
  <si>
    <t>Проверка вент.каналов</t>
  </si>
  <si>
    <t xml:space="preserve">Расходы на управление,аренда, связь </t>
  </si>
  <si>
    <t xml:space="preserve">Исполнитель вед.экономист Викторова Л.С. </t>
  </si>
  <si>
    <t xml:space="preserve">Услуги агентские,охрана труда,отопление, хол.вода, эл.энегрия   </t>
  </si>
  <si>
    <t>Итого за 2016</t>
  </si>
  <si>
    <t>68189,56</t>
  </si>
  <si>
    <t>4.6</t>
  </si>
  <si>
    <t>Дератизация</t>
  </si>
  <si>
    <t>116863,51</t>
  </si>
  <si>
    <t>Итого за 2017</t>
  </si>
  <si>
    <t>Начислено  СОИД</t>
  </si>
  <si>
    <t>Начислено 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</si>
  <si>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</si>
  <si>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</si>
  <si>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</si>
  <si>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</si>
  <si>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Транспортные(ГСМ,зап.части,амортизация,страхование )</t>
  </si>
  <si>
    <t>115240,84</t>
  </si>
  <si>
    <t>Итого за 2018</t>
  </si>
  <si>
    <t>по жилому дому г. Унеча ул. Луначарского  д.21</t>
  </si>
  <si>
    <t>110606,23</t>
  </si>
  <si>
    <t>Итого за 2019</t>
  </si>
  <si>
    <t>Всего за 2015-2019</t>
  </si>
  <si>
    <t>Вывоз ТБО (Утилизация)</t>
  </si>
  <si>
    <t>Дом по ул.Луначарского д.21 вступил в ООО "Наш дом" с июня 2015 года     тариф 11,5 руб с января 2019 года тариф 10,7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</si>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</sst>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1" fillId="0" borderId="34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36" xfId="0" applyFont="1" applyBorder="1" applyAlignment="1">
      <alignment wrapText="1"/>
    </xf>
    <xf numFmtId="0" fontId="20" fillId="0" borderId="26" xfId="0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5" fillId="0" borderId="31" xfId="0" applyFont="1" applyBorder="1" applyAlignment="1">
      <alignment/>
    </xf>
    <xf numFmtId="2" fontId="25" fillId="0" borderId="38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36" xfId="0" applyFont="1" applyBorder="1" applyAlignment="1">
      <alignment/>
    </xf>
    <xf numFmtId="2" fontId="20" fillId="0" borderId="26" xfId="0" applyNumberFormat="1" applyFont="1" applyBorder="1" applyAlignment="1">
      <alignment/>
    </xf>
    <xf numFmtId="0" fontId="21" fillId="2" borderId="25" xfId="0" applyFont="1" applyFill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31" xfId="0" applyFont="1" applyBorder="1" applyAlignment="1">
      <alignment/>
    </xf>
    <xf numFmtId="49" fontId="21" fillId="0" borderId="41" xfId="0" applyNumberFormat="1" applyFont="1" applyBorder="1" applyAlignment="1">
      <alignment horizontal="right" wrapText="1"/>
    </xf>
    <xf numFmtId="0" fontId="21" fillId="0" borderId="32" xfId="0" applyFont="1" applyBorder="1" applyAlignment="1">
      <alignment horizontal="right" wrapText="1"/>
    </xf>
    <xf numFmtId="2" fontId="21" fillId="0" borderId="38" xfId="0" applyNumberFormat="1" applyFont="1" applyBorder="1" applyAlignment="1">
      <alignment/>
    </xf>
    <xf numFmtId="0" fontId="21" fillId="0" borderId="42" xfId="0" applyFont="1" applyBorder="1" applyAlignment="1">
      <alignment wrapText="1"/>
    </xf>
    <xf numFmtId="0" fontId="24" fillId="0" borderId="43" xfId="0" applyFont="1" applyBorder="1" applyAlignment="1">
      <alignment wrapText="1"/>
    </xf>
    <xf numFmtId="49" fontId="21" fillId="0" borderId="44" xfId="0" applyNumberFormat="1" applyFont="1" applyBorder="1" applyAlignment="1">
      <alignment horizontal="right" wrapText="1"/>
    </xf>
    <xf numFmtId="0" fontId="21" fillId="0" borderId="45" xfId="0" applyFont="1" applyBorder="1" applyAlignment="1">
      <alignment horizontal="right" wrapText="1"/>
    </xf>
    <xf numFmtId="0" fontId="21" fillId="0" borderId="45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2" fontId="21" fillId="0" borderId="42" xfId="0" applyNumberFormat="1" applyFont="1" applyBorder="1" applyAlignment="1">
      <alignment/>
    </xf>
    <xf numFmtId="0" fontId="21" fillId="0" borderId="47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24" fillId="0" borderId="44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48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7" fillId="0" borderId="48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31" xfId="0" applyFont="1" applyBorder="1" applyAlignment="1">
      <alignment/>
    </xf>
    <xf numFmtId="0" fontId="22" fillId="0" borderId="0" xfId="0" applyFont="1" applyAlignment="1">
      <alignment/>
    </xf>
    <xf numFmtId="0" fontId="27" fillId="0" borderId="34" xfId="0" applyFont="1" applyBorder="1" applyAlignment="1">
      <alignment wrapText="1"/>
    </xf>
    <xf numFmtId="2" fontId="27" fillId="0" borderId="42" xfId="0" applyNumberFormat="1" applyFont="1" applyBorder="1" applyAlignment="1">
      <alignment/>
    </xf>
    <xf numFmtId="2" fontId="27" fillId="0" borderId="48" xfId="0" applyNumberFormat="1" applyFont="1" applyBorder="1" applyAlignment="1">
      <alignment/>
    </xf>
    <xf numFmtId="2" fontId="27" fillId="0" borderId="34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8" fillId="0" borderId="26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B1" sqref="B1:I1"/>
    </sheetView>
  </sheetViews>
  <sheetFormatPr defaultColWidth="9.00390625" defaultRowHeight="12.75"/>
  <cols>
    <col min="1" max="1" width="3.375" style="24" customWidth="1"/>
    <col min="2" max="2" width="21.00390625" style="0" customWidth="1"/>
    <col min="3" max="3" width="10.125" style="0" hidden="1" customWidth="1"/>
    <col min="4" max="4" width="0.12890625" style="0" hidden="1" customWidth="1"/>
    <col min="5" max="5" width="9.00390625" style="0" hidden="1" customWidth="1"/>
    <col min="6" max="6" width="8.375" style="0" hidden="1" customWidth="1"/>
    <col min="7" max="7" width="8.00390625" style="0" customWidth="1"/>
    <col min="8" max="8" width="8.375" style="0" customWidth="1"/>
    <col min="9" max="9" width="8.125" style="0" customWidth="1"/>
    <col min="10" max="10" width="8.25390625" style="0" customWidth="1"/>
    <col min="11" max="11" width="8.625" style="0" customWidth="1"/>
    <col min="12" max="13" width="8.875" style="0" customWidth="1"/>
    <col min="14" max="14" width="8.125" style="0" customWidth="1"/>
    <col min="15" max="15" width="8.75390625" style="0" customWidth="1"/>
    <col min="16" max="16" width="8.375" style="0" customWidth="1"/>
    <col min="17" max="17" width="8.25390625" style="0" customWidth="1"/>
    <col min="18" max="18" width="8.625" style="0" customWidth="1"/>
    <col min="19" max="19" width="9.875" style="0" customWidth="1"/>
    <col min="20" max="20" width="10.375" style="0" customWidth="1"/>
  </cols>
  <sheetData>
    <row r="1" spans="2:25" ht="12.75" customHeight="1">
      <c r="B1" s="95" t="s">
        <v>75</v>
      </c>
      <c r="C1" s="95"/>
      <c r="D1" s="95"/>
      <c r="E1" s="95"/>
      <c r="F1" s="95"/>
      <c r="G1" s="95"/>
      <c r="H1" s="95"/>
      <c r="I1" s="9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 customHeight="1">
      <c r="B2" s="95" t="s">
        <v>74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6"/>
      <c r="S2" s="96"/>
      <c r="T2" s="4"/>
      <c r="U2" s="4"/>
      <c r="V2" s="4"/>
      <c r="W2" s="4"/>
      <c r="X2" s="4"/>
      <c r="Y2" s="4"/>
    </row>
    <row r="3" spans="2:25" ht="15.75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3"/>
      <c r="V3" s="3"/>
      <c r="W3" s="3"/>
      <c r="X3" s="3"/>
      <c r="Y3" s="3"/>
    </row>
    <row r="4" spans="2:25" ht="15" customHeight="1">
      <c r="B4" s="93" t="s">
        <v>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</row>
    <row r="5" spans="2:25" ht="15.75" customHeight="1" thickBot="1">
      <c r="B5" s="93" t="s">
        <v>69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2"/>
      <c r="V5" s="2"/>
      <c r="W5" s="2"/>
      <c r="X5" s="2"/>
      <c r="Y5" s="2"/>
    </row>
    <row r="6" spans="2:25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</row>
    <row r="7" spans="1:25" ht="25.5" customHeight="1" thickBot="1">
      <c r="A7" s="32" t="s">
        <v>22</v>
      </c>
      <c r="B7" s="25" t="s">
        <v>5</v>
      </c>
      <c r="C7" s="41" t="s">
        <v>47</v>
      </c>
      <c r="D7" s="41" t="s">
        <v>54</v>
      </c>
      <c r="E7" s="41" t="s">
        <v>59</v>
      </c>
      <c r="F7" s="41" t="s">
        <v>68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19</v>
      </c>
      <c r="R7" s="15" t="s">
        <v>18</v>
      </c>
      <c r="S7" s="41" t="s">
        <v>71</v>
      </c>
      <c r="T7" s="37" t="s">
        <v>72</v>
      </c>
      <c r="U7" s="1"/>
      <c r="V7" s="1"/>
      <c r="W7" s="1"/>
      <c r="X7" s="1"/>
      <c r="Y7" s="1"/>
    </row>
    <row r="8" spans="1:20" ht="13.5" thickBot="1">
      <c r="A8" s="33" t="s">
        <v>23</v>
      </c>
      <c r="B8" s="26" t="s">
        <v>1</v>
      </c>
      <c r="C8" s="65">
        <v>349394.6</v>
      </c>
      <c r="D8" s="75">
        <v>598554.61</v>
      </c>
      <c r="E8" s="72">
        <v>582951.1</v>
      </c>
      <c r="F8" s="72">
        <v>582784.35</v>
      </c>
      <c r="G8" s="7">
        <v>45182.89</v>
      </c>
      <c r="H8" s="7">
        <v>45182.89</v>
      </c>
      <c r="I8" s="7">
        <v>45182.89</v>
      </c>
      <c r="J8" s="7">
        <v>45182.89</v>
      </c>
      <c r="K8" s="7">
        <v>45182.89</v>
      </c>
      <c r="L8" s="7">
        <v>45182.89</v>
      </c>
      <c r="M8" s="7">
        <v>45182.89</v>
      </c>
      <c r="N8" s="7">
        <v>45182.89</v>
      </c>
      <c r="O8" s="7">
        <v>45182.89</v>
      </c>
      <c r="P8" s="7">
        <v>45182.89</v>
      </c>
      <c r="Q8" s="7">
        <v>45182.89</v>
      </c>
      <c r="R8" s="7">
        <v>45182.89</v>
      </c>
      <c r="S8" s="60">
        <f>SUM(G8:R8)</f>
        <v>542194.68</v>
      </c>
      <c r="T8" s="51">
        <f>SUM(C8:R8)</f>
        <v>2655879.3400000017</v>
      </c>
    </row>
    <row r="9" spans="1:20" ht="13.5" thickBot="1">
      <c r="A9" s="33"/>
      <c r="B9" s="26" t="s">
        <v>60</v>
      </c>
      <c r="C9" s="73"/>
      <c r="D9" s="76"/>
      <c r="E9" s="74">
        <v>56234.51</v>
      </c>
      <c r="F9" s="74">
        <v>40876.2</v>
      </c>
      <c r="G9" s="7">
        <f aca="true" t="shared" si="0" ref="G9:L9">173.4+252.86+711.8</f>
        <v>1138.06</v>
      </c>
      <c r="H9" s="7">
        <f t="shared" si="0"/>
        <v>1138.06</v>
      </c>
      <c r="I9" s="7">
        <f t="shared" si="0"/>
        <v>1138.06</v>
      </c>
      <c r="J9" s="7">
        <f t="shared" si="0"/>
        <v>1138.06</v>
      </c>
      <c r="K9" s="7">
        <f t="shared" si="0"/>
        <v>1138.06</v>
      </c>
      <c r="L9" s="7">
        <f t="shared" si="0"/>
        <v>1138.06</v>
      </c>
      <c r="M9" s="8">
        <f aca="true" t="shared" si="1" ref="M9:R9">176.63+281.26+731.85</f>
        <v>1189.74</v>
      </c>
      <c r="N9" s="8">
        <f t="shared" si="1"/>
        <v>1189.74</v>
      </c>
      <c r="O9" s="8">
        <f t="shared" si="1"/>
        <v>1189.74</v>
      </c>
      <c r="P9" s="8">
        <f t="shared" si="1"/>
        <v>1189.74</v>
      </c>
      <c r="Q9" s="8">
        <f t="shared" si="1"/>
        <v>1189.74</v>
      </c>
      <c r="R9" s="8">
        <f t="shared" si="1"/>
        <v>1189.74</v>
      </c>
      <c r="S9" s="60">
        <f>SUM(G9:R9)</f>
        <v>13966.799999999997</v>
      </c>
      <c r="T9" s="51">
        <f>SUM(C9:R9)</f>
        <v>111077.51000000001</v>
      </c>
    </row>
    <row r="10" spans="1:20" ht="12" customHeight="1" thickBot="1">
      <c r="A10" s="33"/>
      <c r="B10" s="26" t="s">
        <v>61</v>
      </c>
      <c r="C10" s="73"/>
      <c r="D10" s="76"/>
      <c r="E10" s="74">
        <v>16052.8</v>
      </c>
      <c r="F10" s="74">
        <v>15982.86</v>
      </c>
      <c r="G10" s="7">
        <v>1251.43</v>
      </c>
      <c r="H10" s="7">
        <v>1251.43</v>
      </c>
      <c r="I10" s="7">
        <v>1251.43</v>
      </c>
      <c r="J10" s="7">
        <v>1251.43</v>
      </c>
      <c r="K10" s="7">
        <v>1251.43</v>
      </c>
      <c r="L10" s="7">
        <v>1251.43</v>
      </c>
      <c r="M10" s="8">
        <v>1255.5</v>
      </c>
      <c r="N10" s="8">
        <v>1255.5</v>
      </c>
      <c r="O10" s="8">
        <v>1255.5</v>
      </c>
      <c r="P10" s="8">
        <v>1255.5</v>
      </c>
      <c r="Q10" s="8">
        <v>1255.5</v>
      </c>
      <c r="R10" s="8">
        <v>1255.5</v>
      </c>
      <c r="S10" s="60">
        <f>SUM(G10:R10)</f>
        <v>15041.580000000002</v>
      </c>
      <c r="T10" s="51">
        <f>SUM(C10:R10)</f>
        <v>47077.24</v>
      </c>
    </row>
    <row r="11" spans="1:20" s="85" customFormat="1" ht="13.5" thickBot="1">
      <c r="A11" s="79" t="s">
        <v>24</v>
      </c>
      <c r="B11" s="80" t="s">
        <v>2</v>
      </c>
      <c r="C11" s="81">
        <v>310327.61</v>
      </c>
      <c r="D11" s="81">
        <v>581346.2</v>
      </c>
      <c r="E11" s="82">
        <v>609163.24</v>
      </c>
      <c r="F11" s="82">
        <v>649529.4</v>
      </c>
      <c r="G11" s="83">
        <f aca="true" t="shared" si="2" ref="G11:L11">SUM(G12:G27)</f>
        <v>39679.15</v>
      </c>
      <c r="H11" s="83">
        <f t="shared" si="2"/>
        <v>38183.58</v>
      </c>
      <c r="I11" s="83">
        <f t="shared" si="2"/>
        <v>39294.42</v>
      </c>
      <c r="J11" s="83">
        <f t="shared" si="2"/>
        <v>50363.53</v>
      </c>
      <c r="K11" s="83">
        <f t="shared" si="2"/>
        <v>38839.47</v>
      </c>
      <c r="L11" s="83">
        <f t="shared" si="2"/>
        <v>37512.84</v>
      </c>
      <c r="M11" s="83">
        <f aca="true" t="shared" si="3" ref="M11:R11">SUM(M12:M27)</f>
        <v>39494.61</v>
      </c>
      <c r="N11" s="83">
        <f t="shared" si="3"/>
        <v>38921.17</v>
      </c>
      <c r="O11" s="83">
        <f t="shared" si="3"/>
        <v>42924.66</v>
      </c>
      <c r="P11" s="83">
        <f t="shared" si="3"/>
        <v>80131.16</v>
      </c>
      <c r="Q11" s="83">
        <f t="shared" si="3"/>
        <v>47481.24</v>
      </c>
      <c r="R11" s="83">
        <f t="shared" si="3"/>
        <v>40368.71</v>
      </c>
      <c r="S11" s="82">
        <f>SUM(G11:R11)</f>
        <v>533194.5399999999</v>
      </c>
      <c r="T11" s="84">
        <f>SUM(C11:R11)</f>
        <v>2683560.9899999998</v>
      </c>
    </row>
    <row r="12" spans="1:20" ht="14.25" customHeight="1" thickBot="1">
      <c r="A12" s="33" t="s">
        <v>25</v>
      </c>
      <c r="B12" s="28" t="s">
        <v>73</v>
      </c>
      <c r="C12" s="66" t="s">
        <v>55</v>
      </c>
      <c r="D12" s="66" t="s">
        <v>58</v>
      </c>
      <c r="E12" s="61" t="s">
        <v>67</v>
      </c>
      <c r="F12" s="61" t="s">
        <v>70</v>
      </c>
      <c r="G12" s="7"/>
      <c r="H12" s="8"/>
      <c r="I12" s="8"/>
      <c r="J12" s="8">
        <v>217.25</v>
      </c>
      <c r="K12" s="8">
        <v>166</v>
      </c>
      <c r="L12" s="8">
        <v>68.69</v>
      </c>
      <c r="M12" s="8">
        <v>180.99</v>
      </c>
      <c r="N12" s="8">
        <v>131.4</v>
      </c>
      <c r="O12" s="8">
        <v>32.93</v>
      </c>
      <c r="P12" s="8">
        <v>117.73</v>
      </c>
      <c r="Q12" s="8">
        <v>98.02</v>
      </c>
      <c r="R12" s="16">
        <v>66.39</v>
      </c>
      <c r="S12" s="42">
        <f aca="true" t="shared" si="4" ref="S12:S29">SUM(G12:R12)</f>
        <v>1079.4</v>
      </c>
      <c r="T12" s="51">
        <f aca="true" t="shared" si="5" ref="T12:T28">SUM(C12:R12)</f>
        <v>1079.4</v>
      </c>
    </row>
    <row r="13" spans="1:20" ht="15.75" customHeight="1" thickBot="1">
      <c r="A13" s="33" t="s">
        <v>26</v>
      </c>
      <c r="B13" s="29" t="s">
        <v>48</v>
      </c>
      <c r="C13" s="67">
        <v>5740.56</v>
      </c>
      <c r="D13" s="67">
        <v>2307.36</v>
      </c>
      <c r="E13" s="62">
        <v>2000</v>
      </c>
      <c r="F13" s="62">
        <v>7410</v>
      </c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7"/>
      <c r="S13" s="42">
        <f>SUM(G13:R13)</f>
        <v>0</v>
      </c>
      <c r="T13" s="51">
        <f t="shared" si="5"/>
        <v>17457.92</v>
      </c>
    </row>
    <row r="14" spans="1:20" ht="15.75" customHeight="1" thickBot="1">
      <c r="A14" s="33" t="s">
        <v>27</v>
      </c>
      <c r="B14" s="27" t="s">
        <v>4</v>
      </c>
      <c r="C14" s="67">
        <v>0</v>
      </c>
      <c r="D14" s="67">
        <v>13804</v>
      </c>
      <c r="E14" s="62">
        <v>0</v>
      </c>
      <c r="F14" s="62">
        <v>19722.05</v>
      </c>
      <c r="G14" s="9"/>
      <c r="H14" s="10"/>
      <c r="I14" s="10"/>
      <c r="J14" s="10">
        <v>10255.4</v>
      </c>
      <c r="K14" s="10"/>
      <c r="L14" s="10"/>
      <c r="M14" s="10"/>
      <c r="N14" s="10"/>
      <c r="O14" s="10"/>
      <c r="P14" s="10"/>
      <c r="Q14" s="10"/>
      <c r="R14" s="17"/>
      <c r="S14" s="42">
        <f t="shared" si="4"/>
        <v>10255.4</v>
      </c>
      <c r="T14" s="51">
        <f t="shared" si="5"/>
        <v>43781.450000000004</v>
      </c>
    </row>
    <row r="15" spans="1:20" ht="15" customHeight="1" thickBot="1">
      <c r="A15" s="33" t="s">
        <v>49</v>
      </c>
      <c r="B15" s="27" t="s">
        <v>50</v>
      </c>
      <c r="C15" s="67">
        <v>2400</v>
      </c>
      <c r="D15" s="67">
        <v>0</v>
      </c>
      <c r="E15" s="62">
        <v>3800</v>
      </c>
      <c r="F15" s="62">
        <v>3700</v>
      </c>
      <c r="G15" s="9"/>
      <c r="H15" s="10"/>
      <c r="I15" s="10"/>
      <c r="J15" s="10"/>
      <c r="K15" s="10"/>
      <c r="L15" s="10"/>
      <c r="M15" s="10"/>
      <c r="N15" s="10"/>
      <c r="O15" s="10"/>
      <c r="P15" s="10">
        <v>3000</v>
      </c>
      <c r="Q15" s="10"/>
      <c r="R15" s="17"/>
      <c r="S15" s="42">
        <f>SUM(G15:R15)</f>
        <v>3000</v>
      </c>
      <c r="T15" s="51">
        <f t="shared" si="5"/>
        <v>12900</v>
      </c>
    </row>
    <row r="16" spans="1:20" ht="15.75" customHeight="1" thickBot="1">
      <c r="A16" s="33" t="s">
        <v>28</v>
      </c>
      <c r="B16" s="29" t="s">
        <v>44</v>
      </c>
      <c r="C16" s="68">
        <v>9578.26</v>
      </c>
      <c r="D16" s="68">
        <v>44225.33</v>
      </c>
      <c r="E16" s="58">
        <v>16800.72</v>
      </c>
      <c r="F16" s="58">
        <v>31862.76</v>
      </c>
      <c r="G16" s="9">
        <v>75</v>
      </c>
      <c r="H16" s="10"/>
      <c r="I16" s="10">
        <v>1455</v>
      </c>
      <c r="J16" s="10">
        <v>300</v>
      </c>
      <c r="K16" s="10"/>
      <c r="L16" s="10">
        <v>60</v>
      </c>
      <c r="M16" s="10">
        <v>135</v>
      </c>
      <c r="N16" s="10">
        <v>385</v>
      </c>
      <c r="O16" s="10">
        <f>3659.12+700</f>
        <v>4359.12</v>
      </c>
      <c r="P16" s="10">
        <v>31011.31</v>
      </c>
      <c r="Q16" s="10">
        <v>5939.4</v>
      </c>
      <c r="R16" s="17">
        <v>422</v>
      </c>
      <c r="S16" s="42">
        <f t="shared" si="4"/>
        <v>44141.83</v>
      </c>
      <c r="T16" s="51">
        <f t="shared" si="5"/>
        <v>146608.9</v>
      </c>
    </row>
    <row r="17" spans="1:20" ht="13.5" customHeight="1" thickBot="1">
      <c r="A17" s="33" t="s">
        <v>56</v>
      </c>
      <c r="B17" s="29" t="s">
        <v>57</v>
      </c>
      <c r="C17" s="68"/>
      <c r="D17" s="68">
        <v>604.26</v>
      </c>
      <c r="E17" s="58">
        <v>489.64</v>
      </c>
      <c r="F17" s="58">
        <v>622.11</v>
      </c>
      <c r="G17" s="9"/>
      <c r="H17" s="10"/>
      <c r="I17" s="10">
        <v>59.54</v>
      </c>
      <c r="J17" s="10"/>
      <c r="K17" s="10">
        <v>289.25</v>
      </c>
      <c r="L17" s="10"/>
      <c r="M17" s="10"/>
      <c r="N17" s="10"/>
      <c r="O17" s="10">
        <v>297.75</v>
      </c>
      <c r="P17" s="10"/>
      <c r="Q17" s="10">
        <v>297.75</v>
      </c>
      <c r="R17" s="17"/>
      <c r="S17" s="42">
        <f>SUM(G17:R17)</f>
        <v>944.29</v>
      </c>
      <c r="T17" s="51">
        <f>SUM(C17:R17)</f>
        <v>2660.3</v>
      </c>
    </row>
    <row r="18" spans="1:20" ht="14.25" customHeight="1" thickBot="1">
      <c r="A18" s="33"/>
      <c r="B18" s="29" t="s">
        <v>62</v>
      </c>
      <c r="C18" s="68"/>
      <c r="D18" s="68"/>
      <c r="E18" s="58">
        <v>42708.79</v>
      </c>
      <c r="F18" s="58">
        <v>27341.22</v>
      </c>
      <c r="G18" s="9"/>
      <c r="H18" s="9"/>
      <c r="I18" s="9"/>
      <c r="J18" s="9"/>
      <c r="K18" s="9"/>
      <c r="L18" s="9"/>
      <c r="M18" s="10"/>
      <c r="N18" s="10"/>
      <c r="O18" s="10"/>
      <c r="P18" s="10"/>
      <c r="Q18" s="10"/>
      <c r="R18" s="17"/>
      <c r="S18" s="42">
        <f>SUM(G18:R18)</f>
        <v>0</v>
      </c>
      <c r="T18" s="51">
        <f>SUM(C18:R18)</f>
        <v>70050.01000000001</v>
      </c>
    </row>
    <row r="19" spans="1:20" ht="13.5" customHeight="1" thickBot="1">
      <c r="A19" s="33"/>
      <c r="B19" s="29" t="s">
        <v>64</v>
      </c>
      <c r="C19" s="68"/>
      <c r="D19" s="68"/>
      <c r="E19" s="58">
        <v>2051.97</v>
      </c>
      <c r="F19" s="58">
        <v>2125.98</v>
      </c>
      <c r="G19" s="9">
        <v>177.71</v>
      </c>
      <c r="H19" s="9">
        <v>177.71</v>
      </c>
      <c r="I19" s="9">
        <v>177.71</v>
      </c>
      <c r="J19" s="9">
        <v>177.71</v>
      </c>
      <c r="K19" s="9">
        <v>177.71</v>
      </c>
      <c r="L19" s="9">
        <v>177.71</v>
      </c>
      <c r="M19" s="9">
        <v>177.71</v>
      </c>
      <c r="N19" s="10">
        <v>184.23</v>
      </c>
      <c r="O19" s="10">
        <v>180.97</v>
      </c>
      <c r="P19" s="10">
        <v>180.97</v>
      </c>
      <c r="Q19" s="10">
        <v>180.97</v>
      </c>
      <c r="R19" s="10">
        <v>180.97</v>
      </c>
      <c r="S19" s="42">
        <f>SUM(G19:R19)</f>
        <v>2152.08</v>
      </c>
      <c r="T19" s="51">
        <f>SUM(C19:R19)</f>
        <v>6330.030000000001</v>
      </c>
    </row>
    <row r="20" spans="1:20" ht="13.5" customHeight="1" thickBot="1">
      <c r="A20" s="33"/>
      <c r="B20" s="29" t="s">
        <v>63</v>
      </c>
      <c r="C20" s="68"/>
      <c r="D20" s="68"/>
      <c r="E20" s="58">
        <v>9984.92</v>
      </c>
      <c r="F20" s="58">
        <v>8650.56</v>
      </c>
      <c r="G20" s="9">
        <v>729.63</v>
      </c>
      <c r="H20" s="9">
        <v>729.63</v>
      </c>
      <c r="I20" s="9">
        <v>729.63</v>
      </c>
      <c r="J20" s="9">
        <v>729.63</v>
      </c>
      <c r="K20" s="9">
        <v>729.63</v>
      </c>
      <c r="L20" s="9">
        <v>729.63</v>
      </c>
      <c r="M20" s="9">
        <v>761.69</v>
      </c>
      <c r="N20" s="10">
        <v>761.69</v>
      </c>
      <c r="O20" s="10">
        <v>761.69</v>
      </c>
      <c r="P20" s="10">
        <v>750.2</v>
      </c>
      <c r="Q20" s="10">
        <v>750.2</v>
      </c>
      <c r="R20" s="10">
        <v>750.2</v>
      </c>
      <c r="S20" s="42">
        <f>SUM(G20:R20)</f>
        <v>8913.45</v>
      </c>
      <c r="T20" s="51">
        <f>SUM(C20:R20)</f>
        <v>27548.930000000004</v>
      </c>
    </row>
    <row r="21" spans="1:20" ht="12.75" customHeight="1" thickBot="1">
      <c r="A21" s="33"/>
      <c r="B21" s="29" t="s">
        <v>65</v>
      </c>
      <c r="C21" s="68"/>
      <c r="D21" s="68"/>
      <c r="E21" s="58">
        <v>1792.25</v>
      </c>
      <c r="F21" s="58">
        <v>3096.06</v>
      </c>
      <c r="G21" s="9">
        <v>259.11</v>
      </c>
      <c r="H21" s="9">
        <v>259.11</v>
      </c>
      <c r="I21" s="9">
        <v>259.11</v>
      </c>
      <c r="J21" s="9">
        <v>259.11</v>
      </c>
      <c r="K21" s="9">
        <v>259.11</v>
      </c>
      <c r="L21" s="9">
        <v>259.11</v>
      </c>
      <c r="M21" s="9">
        <v>259.11</v>
      </c>
      <c r="N21" s="10">
        <v>288.29</v>
      </c>
      <c r="O21" s="10">
        <v>288.29</v>
      </c>
      <c r="P21" s="10">
        <v>288.29</v>
      </c>
      <c r="Q21" s="10">
        <v>288.29</v>
      </c>
      <c r="R21" s="10">
        <v>288.29</v>
      </c>
      <c r="S21" s="42">
        <f>SUM(G21:R21)</f>
        <v>3255.2200000000003</v>
      </c>
      <c r="T21" s="51">
        <f>SUM(C21:R21)</f>
        <v>8143.529999999997</v>
      </c>
    </row>
    <row r="22" spans="1:20" ht="21.75" customHeight="1" thickBot="1">
      <c r="A22" s="33" t="s">
        <v>29</v>
      </c>
      <c r="B22" s="29" t="s">
        <v>38</v>
      </c>
      <c r="C22" s="68">
        <v>0</v>
      </c>
      <c r="D22" s="68">
        <v>186</v>
      </c>
      <c r="E22" s="58">
        <v>425.44</v>
      </c>
      <c r="F22" s="58">
        <v>92</v>
      </c>
      <c r="G22" s="9">
        <v>344.26</v>
      </c>
      <c r="H22" s="10">
        <v>174.02</v>
      </c>
      <c r="I22" s="10"/>
      <c r="J22" s="10"/>
      <c r="K22" s="10"/>
      <c r="L22" s="10"/>
      <c r="M22" s="10"/>
      <c r="N22" s="10"/>
      <c r="O22" s="10"/>
      <c r="P22" s="10"/>
      <c r="Q22" s="10"/>
      <c r="R22" s="17"/>
      <c r="S22" s="42">
        <f t="shared" si="4"/>
        <v>518.28</v>
      </c>
      <c r="T22" s="51">
        <f t="shared" si="5"/>
        <v>1221.72</v>
      </c>
    </row>
    <row r="23" spans="1:20" ht="30.75" customHeight="1" thickBot="1">
      <c r="A23" s="33" t="s">
        <v>30</v>
      </c>
      <c r="B23" s="29" t="s">
        <v>66</v>
      </c>
      <c r="C23" s="68">
        <v>12650.17</v>
      </c>
      <c r="D23" s="68">
        <v>13788.01</v>
      </c>
      <c r="E23" s="58">
        <v>12936.6</v>
      </c>
      <c r="F23" s="58">
        <v>13598.91</v>
      </c>
      <c r="G23" s="9">
        <v>1845.56</v>
      </c>
      <c r="H23" s="10">
        <v>1934.59</v>
      </c>
      <c r="I23" s="10">
        <v>1536.07</v>
      </c>
      <c r="J23" s="10">
        <v>1839.67</v>
      </c>
      <c r="K23" s="10">
        <v>1530.42</v>
      </c>
      <c r="L23" s="10">
        <v>1173.44</v>
      </c>
      <c r="M23" s="10">
        <v>1226.45</v>
      </c>
      <c r="N23" s="10">
        <v>1039.51</v>
      </c>
      <c r="O23" s="10">
        <v>1168.84</v>
      </c>
      <c r="P23" s="10">
        <v>2420.44</v>
      </c>
      <c r="Q23" s="10">
        <v>1530.5</v>
      </c>
      <c r="R23" s="17">
        <v>1302.14</v>
      </c>
      <c r="S23" s="42">
        <f>SUM(L23:R23)</f>
        <v>9861.32</v>
      </c>
      <c r="T23" s="51">
        <f t="shared" si="5"/>
        <v>71521.31999999999</v>
      </c>
    </row>
    <row r="24" spans="1:20" ht="21" customHeight="1" thickBot="1">
      <c r="A24" s="33" t="s">
        <v>31</v>
      </c>
      <c r="B24" s="29" t="s">
        <v>51</v>
      </c>
      <c r="C24" s="68">
        <v>2070.96</v>
      </c>
      <c r="D24" s="68">
        <v>2081.01</v>
      </c>
      <c r="E24" s="58">
        <v>1491.13</v>
      </c>
      <c r="F24" s="58">
        <f>1664.71</f>
        <v>1664.71</v>
      </c>
      <c r="G24" s="9">
        <v>146.03</v>
      </c>
      <c r="H24" s="10">
        <v>125.9</v>
      </c>
      <c r="I24" s="10">
        <v>109.72</v>
      </c>
      <c r="J24" s="10">
        <v>127.65</v>
      </c>
      <c r="K24" s="10">
        <v>13.48</v>
      </c>
      <c r="L24" s="10">
        <v>191.34</v>
      </c>
      <c r="M24" s="10">
        <v>214.58</v>
      </c>
      <c r="N24" s="10">
        <v>249.94</v>
      </c>
      <c r="O24" s="10">
        <v>371.47</v>
      </c>
      <c r="P24" s="10">
        <v>91.85</v>
      </c>
      <c r="Q24" s="10">
        <v>339.02</v>
      </c>
      <c r="R24" s="17">
        <v>119.31</v>
      </c>
      <c r="S24" s="42">
        <f>SUM(L24:R24)</f>
        <v>1577.5099999999998</v>
      </c>
      <c r="T24" s="51">
        <f t="shared" si="5"/>
        <v>9408.1</v>
      </c>
    </row>
    <row r="25" spans="1:20" ht="33" customHeight="1" thickBot="1">
      <c r="A25" s="33" t="s">
        <v>32</v>
      </c>
      <c r="B25" s="29" t="s">
        <v>53</v>
      </c>
      <c r="C25" s="68">
        <v>14950.68</v>
      </c>
      <c r="D25" s="68">
        <v>22329.91</v>
      </c>
      <c r="E25" s="58">
        <v>23470.97</v>
      </c>
      <c r="F25" s="58">
        <v>25718.34</v>
      </c>
      <c r="G25" s="9">
        <f>91.15+883.13+1087.78</f>
        <v>2062.06</v>
      </c>
      <c r="H25" s="10">
        <f>85.91+1230.45+1054.49</f>
        <v>2370.8500000000004</v>
      </c>
      <c r="I25" s="10">
        <f>1099.76+74.72+820.36</f>
        <v>1994.8400000000001</v>
      </c>
      <c r="J25" s="10">
        <f>79.91+907.01+2914.28</f>
        <v>3901.2000000000003</v>
      </c>
      <c r="K25" s="10">
        <f>78+1001.5+789.84</f>
        <v>1869.3400000000001</v>
      </c>
      <c r="L25" s="10">
        <f>90.65+697.03+1398.53</f>
        <v>2186.21</v>
      </c>
      <c r="M25" s="10">
        <f>87.16+1180.57+636.93</f>
        <v>1904.6599999999999</v>
      </c>
      <c r="N25" s="10">
        <f>79.85+725.7+1015.35</f>
        <v>1820.9</v>
      </c>
      <c r="O25" s="10">
        <f>58.11+645.41+924.54</f>
        <v>1628.06</v>
      </c>
      <c r="P25" s="10">
        <f>58.9+1033.89+2627.06</f>
        <v>3719.8500000000004</v>
      </c>
      <c r="Q25" s="10">
        <f>65.11+650.11+676.61</f>
        <v>1391.83</v>
      </c>
      <c r="R25" s="17">
        <f>64.97+1966.15+1135.69</f>
        <v>3166.8100000000004</v>
      </c>
      <c r="S25" s="42">
        <f t="shared" si="4"/>
        <v>28016.610000000004</v>
      </c>
      <c r="T25" s="51">
        <f t="shared" si="5"/>
        <v>114486.51</v>
      </c>
    </row>
    <row r="26" spans="1:20" ht="14.25" customHeight="1" thickBot="1">
      <c r="A26" s="33" t="s">
        <v>42</v>
      </c>
      <c r="B26" s="29" t="s">
        <v>6</v>
      </c>
      <c r="C26" s="68">
        <v>144860.99</v>
      </c>
      <c r="D26" s="68">
        <v>251336.05</v>
      </c>
      <c r="E26" s="58">
        <v>256312.24</v>
      </c>
      <c r="F26" s="58">
        <v>273817.53</v>
      </c>
      <c r="G26" s="9">
        <f>39679.15-14728</f>
        <v>24951.15</v>
      </c>
      <c r="H26" s="10">
        <f>38183.58-14835.67</f>
        <v>23347.910000000003</v>
      </c>
      <c r="I26" s="10">
        <f>39294.42-15437.43</f>
        <v>23856.989999999998</v>
      </c>
      <c r="J26" s="10">
        <f>50363.53-26761.38</f>
        <v>23602.149999999998</v>
      </c>
      <c r="K26" s="10">
        <f>38839.47-14073.14</f>
        <v>24766.33</v>
      </c>
      <c r="L26" s="10">
        <f>37512.84-13290.6</f>
        <v>24222.239999999998</v>
      </c>
      <c r="M26" s="10">
        <f>39494.61-14305.6</f>
        <v>25189.010000000002</v>
      </c>
      <c r="N26" s="10">
        <f>38921.17-14696.79</f>
        <v>24224.379999999997</v>
      </c>
      <c r="O26" s="10">
        <f>42924.66-18493.24</f>
        <v>24431.420000000002</v>
      </c>
      <c r="P26" s="10">
        <f>80131.16-54570.84</f>
        <v>25560.320000000007</v>
      </c>
      <c r="Q26" s="10">
        <f>47481.24-20876.55</f>
        <v>26604.69</v>
      </c>
      <c r="R26" s="17">
        <f>40368.71-15471.15</f>
        <v>24897.559999999998</v>
      </c>
      <c r="S26" s="42">
        <f t="shared" si="4"/>
        <v>295654.15</v>
      </c>
      <c r="T26" s="51">
        <f t="shared" si="5"/>
        <v>1221980.96</v>
      </c>
    </row>
    <row r="27" spans="1:20" ht="13.5" thickBot="1">
      <c r="A27" s="33" t="s">
        <v>43</v>
      </c>
      <c r="B27" s="30" t="s">
        <v>3</v>
      </c>
      <c r="C27" s="69">
        <v>49886.43</v>
      </c>
      <c r="D27" s="69">
        <v>105178.13</v>
      </c>
      <c r="E27" s="59">
        <v>109890.35</v>
      </c>
      <c r="F27" s="59">
        <v>109538.82</v>
      </c>
      <c r="G27" s="11">
        <f>7254.9+41.99+1791.75</f>
        <v>9088.64</v>
      </c>
      <c r="H27" s="12">
        <f>7346.8+42.1+1674.96</f>
        <v>9063.86</v>
      </c>
      <c r="I27" s="12">
        <f>7408.7+41.94+1665.17</f>
        <v>9115.81</v>
      </c>
      <c r="J27" s="12">
        <f>7247.6+41.21+1664.95</f>
        <v>8953.76</v>
      </c>
      <c r="K27" s="12">
        <f>7350.6+40.76+1646.84</f>
        <v>9038.2</v>
      </c>
      <c r="L27" s="12">
        <f>6828.9+39+1576.57</f>
        <v>8444.47</v>
      </c>
      <c r="M27" s="12">
        <f>7637.7+43.66+1764.05</f>
        <v>9445.41</v>
      </c>
      <c r="N27" s="12">
        <f>8024.9+46.28+1764.65</f>
        <v>9835.83</v>
      </c>
      <c r="O27" s="12">
        <f>7632.4+48.19+1723.53</f>
        <v>9404.119999999999</v>
      </c>
      <c r="P27" s="12">
        <f>7093+4274+1623.2</f>
        <v>12990.2</v>
      </c>
      <c r="Q27" s="12">
        <f>8168.3+48.47+1843.8</f>
        <v>10060.57</v>
      </c>
      <c r="R27" s="18">
        <f>7472.1+43.69+1659.25</f>
        <v>9175.04</v>
      </c>
      <c r="S27" s="42">
        <f t="shared" si="4"/>
        <v>114615.91</v>
      </c>
      <c r="T27" s="51">
        <f t="shared" si="5"/>
        <v>489109.64</v>
      </c>
    </row>
    <row r="28" spans="1:20" ht="15.75" customHeight="1" thickBot="1">
      <c r="A28" s="33" t="s">
        <v>45</v>
      </c>
      <c r="B28" s="35" t="s">
        <v>46</v>
      </c>
      <c r="C28" s="70">
        <f>C8*5%</f>
        <v>17469.73</v>
      </c>
      <c r="D28" s="77">
        <f>D8*5%</f>
        <v>29927.7305</v>
      </c>
      <c r="E28" s="48">
        <f>E8*5%</f>
        <v>29147.555</v>
      </c>
      <c r="F28" s="48">
        <f>F8*5%</f>
        <v>29139.2175</v>
      </c>
      <c r="G28" s="47">
        <f>(G8+G9+G10)*5%</f>
        <v>2378.619</v>
      </c>
      <c r="H28" s="47">
        <f aca="true" t="shared" si="6" ref="H28:R28">(H8+H9+H10)*5%</f>
        <v>2378.619</v>
      </c>
      <c r="I28" s="47">
        <f t="shared" si="6"/>
        <v>2378.619</v>
      </c>
      <c r="J28" s="47">
        <f t="shared" si="6"/>
        <v>2378.619</v>
      </c>
      <c r="K28" s="47">
        <f t="shared" si="6"/>
        <v>2378.619</v>
      </c>
      <c r="L28" s="47">
        <f t="shared" si="6"/>
        <v>2378.619</v>
      </c>
      <c r="M28" s="47">
        <f t="shared" si="6"/>
        <v>2381.4065</v>
      </c>
      <c r="N28" s="47">
        <f t="shared" si="6"/>
        <v>2381.4065</v>
      </c>
      <c r="O28" s="47">
        <f t="shared" si="6"/>
        <v>2381.4065</v>
      </c>
      <c r="P28" s="47">
        <f t="shared" si="6"/>
        <v>2381.4065</v>
      </c>
      <c r="Q28" s="47">
        <f t="shared" si="6"/>
        <v>2381.4065</v>
      </c>
      <c r="R28" s="47">
        <f t="shared" si="6"/>
        <v>2381.4065</v>
      </c>
      <c r="S28" s="48">
        <f t="shared" si="4"/>
        <v>28560.153000000006</v>
      </c>
      <c r="T28" s="51">
        <f t="shared" si="5"/>
        <v>134244.38600000006</v>
      </c>
    </row>
    <row r="29" spans="1:20" ht="14.25" customHeight="1" thickBot="1">
      <c r="A29" s="33" t="s">
        <v>33</v>
      </c>
      <c r="B29" s="45" t="s">
        <v>40</v>
      </c>
      <c r="C29" s="71"/>
      <c r="D29" s="71"/>
      <c r="E29" s="78">
        <f aca="true" t="shared" si="7" ref="E29:R29">SUM(E8+E9+E10-E11)-E28</f>
        <v>16927.61500000004</v>
      </c>
      <c r="F29" s="78">
        <f>SUM(F8+F9+F10-F11)-F28</f>
        <v>-39025.207500000106</v>
      </c>
      <c r="G29" s="49">
        <f t="shared" si="7"/>
        <v>5514.610999999995</v>
      </c>
      <c r="H29" s="49">
        <f t="shared" si="7"/>
        <v>7010.180999999995</v>
      </c>
      <c r="I29" s="49">
        <f t="shared" si="7"/>
        <v>5899.3409999999985</v>
      </c>
      <c r="J29" s="49">
        <f t="shared" si="7"/>
        <v>-5169.769000000002</v>
      </c>
      <c r="K29" s="49">
        <f t="shared" si="7"/>
        <v>6354.290999999996</v>
      </c>
      <c r="L29" s="49">
        <f t="shared" si="7"/>
        <v>7680.921</v>
      </c>
      <c r="M29" s="49">
        <f t="shared" si="7"/>
        <v>5752.113499999997</v>
      </c>
      <c r="N29" s="49">
        <f t="shared" si="7"/>
        <v>6325.553499999999</v>
      </c>
      <c r="O29" s="49">
        <f t="shared" si="7"/>
        <v>2322.063499999994</v>
      </c>
      <c r="P29" s="49">
        <f t="shared" si="7"/>
        <v>-34884.4365</v>
      </c>
      <c r="Q29" s="49">
        <f t="shared" si="7"/>
        <v>-2234.5165000000006</v>
      </c>
      <c r="R29" s="49">
        <f t="shared" si="7"/>
        <v>4878.013499999998</v>
      </c>
      <c r="S29" s="63">
        <f t="shared" si="4"/>
        <v>9448.366999999971</v>
      </c>
      <c r="T29" s="52"/>
    </row>
    <row r="30" spans="1:20" ht="21.75" customHeight="1" thickBot="1">
      <c r="A30" s="79" t="s">
        <v>34</v>
      </c>
      <c r="B30" s="86" t="s">
        <v>20</v>
      </c>
      <c r="C30" s="87">
        <f>SUM(C8-C11)-C28</f>
        <v>21597.25999999999</v>
      </c>
      <c r="D30" s="88">
        <f>SUM(D8-D11)-D28</f>
        <v>-12719.320499999969</v>
      </c>
      <c r="E30" s="89">
        <f>SUM(E8+E9+E10-E11)-E28</f>
        <v>16927.61500000004</v>
      </c>
      <c r="F30" s="89">
        <f>SUM(F8+F9+F10-F11)-F28</f>
        <v>-39025.207500000106</v>
      </c>
      <c r="G30" s="90">
        <f>SUM(G8+G9+G10-G11)-G28</f>
        <v>5514.610999999995</v>
      </c>
      <c r="H30" s="91">
        <f>SUM(H29+G30)</f>
        <v>12524.79199999999</v>
      </c>
      <c r="I30" s="91">
        <f>SUM(I29+H30)</f>
        <v>18424.132999999987</v>
      </c>
      <c r="J30" s="91">
        <f>SUM(J29+I30)</f>
        <v>13254.363999999985</v>
      </c>
      <c r="K30" s="91">
        <f>SUM(K29+J30)</f>
        <v>19608.65499999998</v>
      </c>
      <c r="L30" s="91">
        <f aca="true" t="shared" si="8" ref="L30:R30">SUM(L29+K30)</f>
        <v>27289.57599999998</v>
      </c>
      <c r="M30" s="91">
        <f t="shared" si="8"/>
        <v>33041.68949999998</v>
      </c>
      <c r="N30" s="91">
        <f t="shared" si="8"/>
        <v>39367.24299999998</v>
      </c>
      <c r="O30" s="91">
        <f t="shared" si="8"/>
        <v>41689.30649999998</v>
      </c>
      <c r="P30" s="91">
        <f t="shared" si="8"/>
        <v>6804.8699999999735</v>
      </c>
      <c r="Q30" s="91">
        <f t="shared" si="8"/>
        <v>4570.353499999973</v>
      </c>
      <c r="R30" s="91">
        <f t="shared" si="8"/>
        <v>9448.366999999971</v>
      </c>
      <c r="S30" s="89"/>
      <c r="T30" s="92"/>
    </row>
    <row r="31" spans="1:20" ht="23.25" customHeight="1" thickBot="1">
      <c r="A31" s="33" t="s">
        <v>35</v>
      </c>
      <c r="B31" s="35" t="s">
        <v>21</v>
      </c>
      <c r="C31" s="64">
        <v>21597.26</v>
      </c>
      <c r="D31" s="70">
        <f>SUM(D30+C31)</f>
        <v>8877.93950000003</v>
      </c>
      <c r="E31" s="48">
        <f>SUM(E30+D31)-0.54</f>
        <v>25805.01450000007</v>
      </c>
      <c r="F31" s="48">
        <f>SUM(F30+E31)</f>
        <v>-13220.193000000036</v>
      </c>
      <c r="G31" s="48">
        <f>SUM(G30+F31)</f>
        <v>-7705.58200000004</v>
      </c>
      <c r="H31" s="50">
        <f aca="true" t="shared" si="9" ref="H31:R31">SUM(H29+G31)</f>
        <v>-695.4010000000453</v>
      </c>
      <c r="I31" s="50">
        <f t="shared" si="9"/>
        <v>5203.939999999953</v>
      </c>
      <c r="J31" s="50">
        <f t="shared" si="9"/>
        <v>34.170999999951164</v>
      </c>
      <c r="K31" s="50">
        <f t="shared" si="9"/>
        <v>6388.461999999947</v>
      </c>
      <c r="L31" s="50">
        <f t="shared" si="9"/>
        <v>14069.382999999947</v>
      </c>
      <c r="M31" s="50">
        <f t="shared" si="9"/>
        <v>19821.496499999943</v>
      </c>
      <c r="N31" s="50">
        <f t="shared" si="9"/>
        <v>26147.04999999994</v>
      </c>
      <c r="O31" s="50">
        <f>SUM(O29+N31)</f>
        <v>28469.113499999934</v>
      </c>
      <c r="P31" s="50">
        <f t="shared" si="9"/>
        <v>-6415.323000000069</v>
      </c>
      <c r="Q31" s="50">
        <f t="shared" si="9"/>
        <v>-8649.839500000071</v>
      </c>
      <c r="R31" s="50">
        <f t="shared" si="9"/>
        <v>-3771.826000000073</v>
      </c>
      <c r="S31" s="42"/>
      <c r="T31" s="56"/>
    </row>
    <row r="32" spans="1:19" ht="17.25" customHeight="1" hidden="1" thickBot="1">
      <c r="A32" s="33" t="s">
        <v>33</v>
      </c>
      <c r="B32" s="13"/>
      <c r="C32" s="13"/>
      <c r="D32" s="13"/>
      <c r="E32" s="13"/>
      <c r="F32" s="13"/>
      <c r="G32" s="14"/>
      <c r="H32" s="14"/>
      <c r="I32" s="14"/>
      <c r="J32" s="14"/>
      <c r="K32" s="53"/>
      <c r="L32" s="53"/>
      <c r="M32" s="53"/>
      <c r="N32" s="53"/>
      <c r="O32" s="53"/>
      <c r="P32" s="53"/>
      <c r="Q32" s="53"/>
      <c r="R32" s="54"/>
      <c r="S32" s="55"/>
    </row>
    <row r="33" spans="1:19" ht="15" customHeight="1" hidden="1" thickBot="1">
      <c r="A33" s="33" t="s">
        <v>34</v>
      </c>
      <c r="B33" s="13"/>
      <c r="C33" s="13"/>
      <c r="D33" s="13"/>
      <c r="E33" s="13"/>
      <c r="F33" s="13"/>
      <c r="G33" s="14"/>
      <c r="H33" s="14"/>
      <c r="I33" s="14"/>
      <c r="J33" s="14"/>
      <c r="K33" s="50"/>
      <c r="L33" s="50"/>
      <c r="M33" s="50"/>
      <c r="N33" s="50"/>
      <c r="O33" s="50"/>
      <c r="P33" s="50"/>
      <c r="Q33" s="50"/>
      <c r="R33" s="42"/>
      <c r="S33" s="46"/>
    </row>
    <row r="34" spans="1:20" ht="20.25" customHeight="1" hidden="1" thickBot="1">
      <c r="A34" s="33" t="s">
        <v>35</v>
      </c>
      <c r="B34" s="31"/>
      <c r="C34" s="57"/>
      <c r="D34" s="57"/>
      <c r="E34" s="57"/>
      <c r="F34" s="57"/>
      <c r="G34" s="22"/>
      <c r="H34" s="22"/>
      <c r="I34" s="22"/>
      <c r="J34" s="22"/>
      <c r="K34" s="22"/>
      <c r="L34" s="14"/>
      <c r="M34" s="14"/>
      <c r="N34" s="14"/>
      <c r="O34" s="14"/>
      <c r="P34" s="14"/>
      <c r="Q34" s="14"/>
      <c r="R34" s="19"/>
      <c r="S34" s="42"/>
      <c r="T34" s="38"/>
    </row>
    <row r="35" spans="1:20" ht="17.25" customHeight="1" hidden="1" thickBot="1">
      <c r="A35" s="34" t="s">
        <v>36</v>
      </c>
      <c r="B35" s="31"/>
      <c r="C35" s="57"/>
      <c r="D35" s="57"/>
      <c r="E35" s="57"/>
      <c r="F35" s="57"/>
      <c r="G35" s="22"/>
      <c r="H35" s="22"/>
      <c r="I35" s="22"/>
      <c r="J35" s="22"/>
      <c r="K35" s="22"/>
      <c r="L35" s="14"/>
      <c r="M35" s="14"/>
      <c r="N35" s="14"/>
      <c r="O35" s="14"/>
      <c r="P35" s="14"/>
      <c r="Q35" s="14"/>
      <c r="R35" s="19"/>
      <c r="S35" s="43"/>
      <c r="T35" s="39"/>
    </row>
    <row r="36" spans="1:20" ht="17.25" customHeight="1" hidden="1" thickBot="1">
      <c r="A36" s="34" t="s">
        <v>37</v>
      </c>
      <c r="G36" s="20"/>
      <c r="H36" s="20"/>
      <c r="I36" s="20"/>
      <c r="J36" s="20"/>
      <c r="K36" s="20"/>
      <c r="L36" s="22"/>
      <c r="M36" s="22"/>
      <c r="N36" s="22"/>
      <c r="O36" s="22"/>
      <c r="P36" s="22"/>
      <c r="Q36" s="22"/>
      <c r="R36" s="23"/>
      <c r="S36" s="44"/>
      <c r="T36" s="40"/>
    </row>
    <row r="37" spans="1:20" ht="16.5" customHeight="1" hidden="1" thickBot="1">
      <c r="A37" s="36" t="s">
        <v>39</v>
      </c>
      <c r="L37" s="22"/>
      <c r="M37" s="22"/>
      <c r="N37" s="22"/>
      <c r="O37" s="22"/>
      <c r="P37" s="22"/>
      <c r="Q37" s="22"/>
      <c r="R37" s="23"/>
      <c r="S37" s="44"/>
      <c r="T37" s="40"/>
    </row>
    <row r="38" spans="2:20" ht="12.75" customHeight="1">
      <c r="B38" t="s">
        <v>52</v>
      </c>
      <c r="L38" s="20"/>
      <c r="M38" s="20"/>
      <c r="N38" s="20"/>
      <c r="O38" s="20"/>
      <c r="P38" s="20"/>
      <c r="Q38" s="20"/>
      <c r="R38" s="20"/>
      <c r="S38" s="20"/>
      <c r="T38" s="21"/>
    </row>
    <row r="40" ht="6" customHeight="1" hidden="1"/>
    <row r="41" ht="12.75" hidden="1">
      <c r="B41" t="s">
        <v>41</v>
      </c>
    </row>
    <row r="42" ht="12.75" hidden="1"/>
    <row r="47" ht="12.75" customHeight="1"/>
    <row r="48" ht="12.75" customHeight="1"/>
  </sheetData>
  <sheetProtection/>
  <mergeCells count="5">
    <mergeCell ref="B4:T4"/>
    <mergeCell ref="B5:T5"/>
    <mergeCell ref="B3:T3"/>
    <mergeCell ref="B1:I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2020-02-20T12:09:59Z</cp:lastPrinted>
  <dcterms:created xsi:type="dcterms:W3CDTF">2011-06-16T11:06:26Z</dcterms:created>
  <dcterms:modified xsi:type="dcterms:W3CDTF">2020-02-20T12:11:29Z</dcterms:modified>
  <cp:category/>
  <cp:version/>
  <cp:contentType/>
  <cp:contentStatus/>
</cp:coreProperties>
</file>