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<sst xmlns="http://schemas.openxmlformats.org/spreadsheetml/2006/main" count="80" uniqueCount="80">
  <si>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СПРАВКА</t>
  </si>
  <si>
    <t xml:space="preserve">Начислено  </t>
  </si>
  <si>
    <t>Расходы</t>
  </si>
  <si>
    <t>Услуги РИРЦ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</si>
  <si>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</si>
  <si>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</si>
  <si>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</si>
  <si>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</si>
  <si>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</si>
  <si>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</si>
  <si>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</si>
  <si>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</si>
  <si>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</si>
  <si>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</si>
  <si>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</si>
  <si>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</si>
  <si>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</si>
  <si>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</si>
  <si>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</si>
  <si>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</si>
  <si>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</si>
  <si>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</si>
  <si>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</si>
  <si>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</si>
  <si>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</si>
  <si>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</si>
  <si>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</si>
  <si>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</si>
  <si>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</si>
  <si>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</si>
  <si>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</si>
  <si>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</si>
  <si>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</si>
  <si>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</si>
  <si>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</si>
  <si>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</si>
  <si>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</si>
  <si>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</si>
  <si>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</si>
  <si>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</si>
  <si>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</si>
  <si>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</si>
  <si>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</si>
  <si>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2009 г</t>
  </si>
  <si>
    <t>за 2010 г</t>
  </si>
  <si>
    <t>10</t>
  </si>
  <si>
    <t>Финансовый результат по дому с начала года</t>
  </si>
  <si>
    <t>по жилому дому г. Унеча ул. Луначарского д.23</t>
  </si>
  <si>
    <t>Итого за 2011 г</t>
  </si>
  <si>
    <t>11</t>
  </si>
  <si>
    <t>Результат за месяц</t>
  </si>
  <si>
    <t>Исполнитель /Викторова Л.С./</t>
  </si>
  <si>
    <t>Итого за 2012 г</t>
  </si>
  <si>
    <t>Благоустройство территории</t>
  </si>
  <si>
    <t>4.12</t>
  </si>
  <si>
    <t>4.13</t>
  </si>
  <si>
    <t>Итого за 2013 г</t>
  </si>
  <si>
    <t>Итого за 2014 г</t>
  </si>
  <si>
    <t xml:space="preserve">Материалы </t>
  </si>
  <si>
    <t>рентабельность 5%</t>
  </si>
  <si>
    <t>Проверка дымовых каналов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</si>
  <si>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</si>
  <si>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</si>
  <si>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</si>
  <si>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Итого за 2015 г</t>
  </si>
  <si>
    <t>Итого за 2016 г</t>
  </si>
  <si>
    <t>Проверка газового оборудования</t>
  </si>
  <si>
    <t>Итого за 2017 г</t>
  </si>
  <si>
    <t>Начислено  СОИД</t>
  </si>
  <si>
    <t>Начислено  нежилые</t>
  </si>
  <si>
    <t>Электроэнергия СОИД</t>
  </si>
  <si>
    <t>Холодная вода СОИД</t>
  </si>
  <si>
    <t>Канализация СОИД</t>
  </si>
  <si>
    <t>Транспортные(ГСМ,зап.части,амортизация,страхован)</t>
  </si>
  <si>
    <t>Итого за 2018 г</t>
  </si>
  <si>
    <t>Итого за 2019 г</t>
  </si>
  <si>
    <t>Всего за 2009-2019</t>
  </si>
  <si>
    <t>Вывоз ТБО (Утилизация)</t>
  </si>
  <si>
    <t>Дом по ул.Луначарского д.23 вступил в ООО "Наш дом" с октября 2009 года     тариф 9,2 руб с января 2019 года тариф 8,6 руб.</t>
  </si>
  <si>
    <t>ООО "НД УНЕЧА"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</si>
</sst>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49" fontId="0" fillId="0" borderId="35" xfId="0" applyNumberFormat="1" applyBorder="1" applyAlignment="1">
      <alignment horizontal="center"/>
    </xf>
    <xf numFmtId="0" fontId="21" fillId="0" borderId="41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0" fontId="26" fillId="0" borderId="37" xfId="0" applyFont="1" applyBorder="1" applyAlignment="1">
      <alignment wrapText="1"/>
    </xf>
    <xf numFmtId="0" fontId="26" fillId="0" borderId="32" xfId="0" applyFont="1" applyBorder="1" applyAlignment="1">
      <alignment wrapText="1"/>
    </xf>
    <xf numFmtId="0" fontId="26" fillId="0" borderId="43" xfId="0" applyFont="1" applyBorder="1" applyAlignment="1">
      <alignment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23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48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49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7" fillId="0" borderId="32" xfId="0" applyFont="1" applyBorder="1" applyAlignment="1">
      <alignment/>
    </xf>
    <xf numFmtId="2" fontId="27" fillId="0" borderId="27" xfId="0" applyNumberFormat="1" applyFont="1" applyBorder="1" applyAlignment="1">
      <alignment/>
    </xf>
    <xf numFmtId="2" fontId="27" fillId="0" borderId="50" xfId="0" applyNumberFormat="1" applyFont="1" applyBorder="1" applyAlignment="1">
      <alignment/>
    </xf>
    <xf numFmtId="0" fontId="19" fillId="0" borderId="47" xfId="0" applyFont="1" applyBorder="1" applyAlignment="1">
      <alignment horizontal="center" vertical="center" wrapText="1"/>
    </xf>
    <xf numFmtId="2" fontId="21" fillId="0" borderId="47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2" fontId="21" fillId="0" borderId="51" xfId="0" applyNumberFormat="1" applyFont="1" applyBorder="1" applyAlignment="1">
      <alignment/>
    </xf>
    <xf numFmtId="0" fontId="26" fillId="0" borderId="38" xfId="0" applyFont="1" applyBorder="1" applyAlignment="1">
      <alignment wrapText="1"/>
    </xf>
    <xf numFmtId="0" fontId="26" fillId="0" borderId="52" xfId="0" applyFont="1" applyBorder="1" applyAlignment="1">
      <alignment wrapText="1"/>
    </xf>
    <xf numFmtId="2" fontId="21" fillId="0" borderId="42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8" fillId="0" borderId="23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47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27" xfId="0" applyNumberFormat="1" applyFont="1" applyBorder="1" applyAlignment="1">
      <alignment/>
    </xf>
    <xf numFmtId="0" fontId="22" fillId="0" borderId="0" xfId="0" applyFont="1" applyAlignment="1">
      <alignment/>
    </xf>
    <xf numFmtId="0" fontId="28" fillId="0" borderId="50" xfId="0" applyFont="1" applyBorder="1" applyAlignment="1">
      <alignment wrapText="1"/>
    </xf>
    <xf numFmtId="0" fontId="28" fillId="0" borderId="53" xfId="0" applyFont="1" applyBorder="1" applyAlignment="1">
      <alignment wrapText="1"/>
    </xf>
    <xf numFmtId="0" fontId="28" fillId="0" borderId="51" xfId="0" applyFont="1" applyBorder="1" applyAlignment="1">
      <alignment wrapText="1"/>
    </xf>
    <xf numFmtId="0" fontId="28" fillId="0" borderId="53" xfId="0" applyFont="1" applyBorder="1" applyAlignment="1">
      <alignment/>
    </xf>
    <xf numFmtId="0" fontId="28" fillId="0" borderId="51" xfId="0" applyFont="1" applyBorder="1" applyAlignment="1">
      <alignment/>
    </xf>
    <xf numFmtId="2" fontId="28" fillId="0" borderId="53" xfId="0" applyNumberFormat="1" applyFont="1" applyBorder="1" applyAlignment="1">
      <alignment/>
    </xf>
    <xf numFmtId="2" fontId="28" fillId="0" borderId="51" xfId="0" applyNumberFormat="1" applyFont="1" applyBorder="1" applyAlignment="1">
      <alignment/>
    </xf>
    <xf numFmtId="2" fontId="28" fillId="0" borderId="35" xfId="0" applyNumberFormat="1" applyFont="1" applyBorder="1" applyAlignment="1">
      <alignment/>
    </xf>
    <xf numFmtId="2" fontId="28" fillId="0" borderId="49" xfId="0" applyNumberFormat="1" applyFont="1" applyBorder="1" applyAlignment="1">
      <alignment/>
    </xf>
    <xf numFmtId="2" fontId="28" fillId="0" borderId="54" xfId="0" applyNumberFormat="1" applyFont="1" applyBorder="1" applyAlignment="1">
      <alignment/>
    </xf>
    <xf numFmtId="0" fontId="28" fillId="0" borderId="5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PageLayoutView="0" workbookViewId="0" topLeftCell="A7">
      <selection activeCell="B2" sqref="B2:X2"/>
    </sheetView>
  </sheetViews>
  <sheetFormatPr defaultColWidth="9.00390625" defaultRowHeight="12.75"/>
  <cols>
    <col min="1" max="1" width="3.125" style="26" customWidth="1"/>
    <col min="2" max="2" width="23.25390625" style="0" customWidth="1"/>
    <col min="3" max="3" width="7.00390625" style="0" hidden="1" customWidth="1"/>
    <col min="4" max="5" width="7.625" style="0" hidden="1" customWidth="1"/>
    <col min="6" max="6" width="9.25390625" style="0" hidden="1" customWidth="1"/>
    <col min="7" max="7" width="8.75390625" style="0" hidden="1" customWidth="1"/>
    <col min="8" max="10" width="9.375" style="0" hidden="1" customWidth="1"/>
    <col min="11" max="11" width="9.125" style="0" hidden="1" customWidth="1"/>
    <col min="12" max="12" width="9.375" style="0" hidden="1" customWidth="1"/>
    <col min="13" max="13" width="8.625" style="0" customWidth="1"/>
    <col min="14" max="14" width="9.00390625" style="0" customWidth="1"/>
    <col min="15" max="15" width="8.00390625" style="0" customWidth="1"/>
    <col min="16" max="16" width="7.75390625" style="0" customWidth="1"/>
    <col min="17" max="17" width="8.75390625" style="0" customWidth="1"/>
    <col min="18" max="18" width="8.00390625" style="0" customWidth="1"/>
    <col min="19" max="19" width="8.625" style="0" customWidth="1"/>
    <col min="20" max="22" width="8.25390625" style="0" customWidth="1"/>
    <col min="23" max="23" width="8.75390625" style="0" customWidth="1"/>
    <col min="24" max="24" width="8.375" style="0" customWidth="1"/>
    <col min="25" max="25" width="9.125" style="0" customWidth="1"/>
    <col min="26" max="26" width="9.625" style="0" customWidth="1"/>
  </cols>
  <sheetData>
    <row r="1" spans="2:31" ht="12.75" customHeight="1">
      <c r="B1" s="111" t="s">
        <v>79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111" t="s">
        <v>78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2"/>
      <c r="X2" s="112"/>
      <c r="Y2" s="4"/>
      <c r="Z2" s="4"/>
      <c r="AA2" s="4"/>
      <c r="AB2" s="4"/>
      <c r="AC2" s="4"/>
      <c r="AD2" s="4"/>
      <c r="AE2" s="4"/>
    </row>
    <row r="3" spans="2:31" ht="12.75" customHeight="1">
      <c r="B3" s="110" t="s">
        <v>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3"/>
      <c r="AB3" s="3"/>
      <c r="AC3" s="3"/>
      <c r="AD3" s="3"/>
      <c r="AE3" s="3"/>
    </row>
    <row r="4" spans="2:31" ht="15" customHeight="1">
      <c r="B4" s="109" t="s">
        <v>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2"/>
      <c r="AB4" s="2"/>
      <c r="AC4" s="2"/>
      <c r="AD4" s="2"/>
      <c r="AE4" s="2"/>
    </row>
    <row r="5" spans="2:31" ht="16.5" customHeight="1" thickBot="1">
      <c r="B5" s="109" t="s">
        <v>47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2"/>
      <c r="AB5" s="2"/>
      <c r="AC5" s="2"/>
      <c r="AD5" s="2"/>
      <c r="AE5" s="2"/>
    </row>
    <row r="6" spans="1:31" ht="30.75" customHeight="1" thickBot="1">
      <c r="A6" s="35" t="s">
        <v>25</v>
      </c>
      <c r="B6" s="27" t="s">
        <v>5</v>
      </c>
      <c r="C6" s="38" t="s">
        <v>43</v>
      </c>
      <c r="D6" s="42" t="s">
        <v>44</v>
      </c>
      <c r="E6" s="57" t="s">
        <v>48</v>
      </c>
      <c r="F6" s="57" t="s">
        <v>52</v>
      </c>
      <c r="G6" s="57" t="s">
        <v>56</v>
      </c>
      <c r="H6" s="83" t="s">
        <v>57</v>
      </c>
      <c r="I6" s="57" t="s">
        <v>64</v>
      </c>
      <c r="J6" s="57" t="s">
        <v>65</v>
      </c>
      <c r="K6" s="57" t="s">
        <v>67</v>
      </c>
      <c r="L6" s="57" t="s">
        <v>74</v>
      </c>
      <c r="M6" s="6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17</v>
      </c>
      <c r="V6" s="5" t="s">
        <v>18</v>
      </c>
      <c r="W6" s="5" t="s">
        <v>20</v>
      </c>
      <c r="X6" s="15" t="s">
        <v>19</v>
      </c>
      <c r="Y6" s="57" t="s">
        <v>75</v>
      </c>
      <c r="Z6" s="52" t="s">
        <v>76</v>
      </c>
      <c r="AA6" s="1"/>
      <c r="AB6" s="1"/>
      <c r="AC6" s="1"/>
      <c r="AD6" s="1"/>
      <c r="AE6" s="1"/>
    </row>
    <row r="7" spans="1:26" ht="13.5" thickBot="1">
      <c r="A7" s="36" t="s">
        <v>26</v>
      </c>
      <c r="B7" s="28" t="s">
        <v>1</v>
      </c>
      <c r="C7" s="66">
        <v>10778.72</v>
      </c>
      <c r="D7" s="67">
        <v>39802.88</v>
      </c>
      <c r="E7" s="68">
        <v>61518.56</v>
      </c>
      <c r="F7" s="67">
        <v>61945.44</v>
      </c>
      <c r="G7" s="67">
        <v>61945.44</v>
      </c>
      <c r="H7" s="68">
        <v>61945.44</v>
      </c>
      <c r="I7" s="67">
        <v>61945.44</v>
      </c>
      <c r="J7" s="88">
        <v>61505.68</v>
      </c>
      <c r="K7" s="67">
        <v>40413.76</v>
      </c>
      <c r="L7" s="67">
        <v>40428.48</v>
      </c>
      <c r="M7" s="7">
        <v>2832.84</v>
      </c>
      <c r="N7" s="7">
        <v>2832.84</v>
      </c>
      <c r="O7" s="7">
        <v>2832.84</v>
      </c>
      <c r="P7" s="7">
        <v>2832.84</v>
      </c>
      <c r="Q7" s="7">
        <v>2832.84</v>
      </c>
      <c r="R7" s="7">
        <v>2832.84</v>
      </c>
      <c r="S7" s="7">
        <v>2832.84</v>
      </c>
      <c r="T7" s="7">
        <v>2832.84</v>
      </c>
      <c r="U7" s="7">
        <v>2832.84</v>
      </c>
      <c r="V7" s="7">
        <v>2832.84</v>
      </c>
      <c r="W7" s="7">
        <v>2832.84</v>
      </c>
      <c r="X7" s="7">
        <v>2832.84</v>
      </c>
      <c r="Y7" s="58">
        <f>SUM(M7:X7)</f>
        <v>33994.08</v>
      </c>
      <c r="Z7" s="80">
        <f>SUM(C7:X7)</f>
        <v>536223.92</v>
      </c>
    </row>
    <row r="8" spans="1:26" ht="13.5" thickBot="1">
      <c r="A8" s="36"/>
      <c r="B8" s="28" t="s">
        <v>68</v>
      </c>
      <c r="C8" s="66"/>
      <c r="D8" s="87"/>
      <c r="E8" s="68"/>
      <c r="F8" s="87"/>
      <c r="G8" s="87"/>
      <c r="H8" s="68"/>
      <c r="I8" s="87"/>
      <c r="J8" s="68"/>
      <c r="K8" s="87">
        <v>5180.44</v>
      </c>
      <c r="L8" s="87">
        <v>4080.59</v>
      </c>
      <c r="M8" s="7">
        <f aca="true" t="shared" si="0" ref="M8:R8">23.49+20.8</f>
        <v>44.29</v>
      </c>
      <c r="N8" s="7">
        <f t="shared" si="0"/>
        <v>44.29</v>
      </c>
      <c r="O8" s="7">
        <f t="shared" si="0"/>
        <v>44.29</v>
      </c>
      <c r="P8" s="7">
        <f t="shared" si="0"/>
        <v>44.29</v>
      </c>
      <c r="Q8" s="7">
        <f t="shared" si="0"/>
        <v>44.29</v>
      </c>
      <c r="R8" s="7">
        <f t="shared" si="0"/>
        <v>44.29</v>
      </c>
      <c r="S8" s="8">
        <f aca="true" t="shared" si="1" ref="S8:X8">23.92+23.14</f>
        <v>47.06</v>
      </c>
      <c r="T8" s="8">
        <f t="shared" si="1"/>
        <v>47.06</v>
      </c>
      <c r="U8" s="8">
        <f t="shared" si="1"/>
        <v>47.06</v>
      </c>
      <c r="V8" s="8">
        <f t="shared" si="1"/>
        <v>47.06</v>
      </c>
      <c r="W8" s="8">
        <f t="shared" si="1"/>
        <v>47.06</v>
      </c>
      <c r="X8" s="8">
        <f t="shared" si="1"/>
        <v>47.06</v>
      </c>
      <c r="Y8" s="58">
        <f>SUM(M8:X8)</f>
        <v>548.1</v>
      </c>
      <c r="Z8" s="80">
        <f>SUM(C8:X8)</f>
        <v>9809.130000000001</v>
      </c>
    </row>
    <row r="9" spans="1:26" ht="13.5" thickBot="1">
      <c r="A9" s="36"/>
      <c r="B9" s="28" t="s">
        <v>69</v>
      </c>
      <c r="C9" s="66"/>
      <c r="D9" s="87"/>
      <c r="E9" s="68"/>
      <c r="F9" s="87"/>
      <c r="G9" s="87"/>
      <c r="H9" s="68"/>
      <c r="I9" s="87"/>
      <c r="J9" s="68"/>
      <c r="K9" s="87">
        <v>24553.45</v>
      </c>
      <c r="L9" s="87">
        <v>25768.44</v>
      </c>
      <c r="M9" s="7">
        <v>2449.77</v>
      </c>
      <c r="N9" s="7">
        <v>2450.27</v>
      </c>
      <c r="O9" s="7">
        <v>2449.77</v>
      </c>
      <c r="P9" s="7">
        <v>2449.77</v>
      </c>
      <c r="Q9" s="7">
        <v>2449.77</v>
      </c>
      <c r="R9" s="7">
        <v>2449.77</v>
      </c>
      <c r="S9" s="8">
        <v>2465.22</v>
      </c>
      <c r="T9" s="8">
        <v>2465.22</v>
      </c>
      <c r="U9" s="8">
        <v>2465.22</v>
      </c>
      <c r="V9" s="8">
        <v>2465.22</v>
      </c>
      <c r="W9" s="8">
        <v>2465.22</v>
      </c>
      <c r="X9" s="8">
        <v>2465.22</v>
      </c>
      <c r="Y9" s="58">
        <f>SUM(M9:X9)</f>
        <v>29490.440000000006</v>
      </c>
      <c r="Z9" s="80">
        <f>SUM(C9:X9)</f>
        <v>79812.32999999999</v>
      </c>
    </row>
    <row r="10" spans="1:26" s="97" customFormat="1" ht="13.5" thickBot="1">
      <c r="A10" s="90" t="s">
        <v>27</v>
      </c>
      <c r="B10" s="91" t="s">
        <v>2</v>
      </c>
      <c r="C10" s="92">
        <f aca="true" t="shared" si="2" ref="C10:M10">SUM(C11:C25)</f>
        <v>7450.960000000001</v>
      </c>
      <c r="D10" s="93">
        <f t="shared" si="2"/>
        <v>35674.33</v>
      </c>
      <c r="E10" s="92">
        <f t="shared" si="2"/>
        <v>54795.44000000002</v>
      </c>
      <c r="F10" s="93">
        <f t="shared" si="2"/>
        <v>42779.07</v>
      </c>
      <c r="G10" s="93">
        <f t="shared" si="2"/>
        <v>51282.22</v>
      </c>
      <c r="H10" s="94">
        <f>SUM(H11:H25)</f>
        <v>43000.299999999996</v>
      </c>
      <c r="I10" s="93">
        <f>SUM(I11:I25)</f>
        <v>48383.51</v>
      </c>
      <c r="J10" s="94">
        <f>SUM(J11:J25)</f>
        <v>61090.58</v>
      </c>
      <c r="K10" s="93">
        <f>SUM(K11:K25)</f>
        <v>54471.5</v>
      </c>
      <c r="L10" s="93">
        <f t="shared" si="2"/>
        <v>59183.81999999999</v>
      </c>
      <c r="M10" s="95">
        <f t="shared" si="2"/>
        <v>3845.44</v>
      </c>
      <c r="N10" s="95">
        <f aca="true" t="shared" si="3" ref="N10:X10">SUM(N11:N25)</f>
        <v>5840.849999999999</v>
      </c>
      <c r="O10" s="95">
        <f t="shared" si="3"/>
        <v>2914.17</v>
      </c>
      <c r="P10" s="95">
        <f t="shared" si="3"/>
        <v>3246.4700000000003</v>
      </c>
      <c r="Q10" s="95">
        <f t="shared" si="3"/>
        <v>5811.219999999999</v>
      </c>
      <c r="R10" s="95">
        <f t="shared" si="3"/>
        <v>2762.8199999999997</v>
      </c>
      <c r="S10" s="95">
        <f t="shared" si="3"/>
        <v>2916.15</v>
      </c>
      <c r="T10" s="95">
        <f t="shared" si="3"/>
        <v>3225.41</v>
      </c>
      <c r="U10" s="95">
        <f t="shared" si="3"/>
        <v>2530.33</v>
      </c>
      <c r="V10" s="95">
        <f t="shared" si="3"/>
        <v>3112.56</v>
      </c>
      <c r="W10" s="95">
        <f t="shared" si="3"/>
        <v>3075.29</v>
      </c>
      <c r="X10" s="92">
        <f t="shared" si="3"/>
        <v>2958.87</v>
      </c>
      <c r="Y10" s="93">
        <f>SUM(M10:X10)</f>
        <v>42239.58</v>
      </c>
      <c r="Z10" s="96">
        <f>SUM(C10:X10)</f>
        <v>500351.30999999994</v>
      </c>
    </row>
    <row r="11" spans="1:26" ht="13.5" thickBot="1">
      <c r="A11" s="36" t="s">
        <v>28</v>
      </c>
      <c r="B11" s="30" t="s">
        <v>77</v>
      </c>
      <c r="C11" s="46">
        <v>1817.33</v>
      </c>
      <c r="D11" s="47">
        <v>8408.02</v>
      </c>
      <c r="E11" s="69">
        <v>8802.71</v>
      </c>
      <c r="F11" s="47">
        <v>9269.49</v>
      </c>
      <c r="G11" s="47">
        <v>9760.68</v>
      </c>
      <c r="H11" s="69">
        <v>10484.83</v>
      </c>
      <c r="I11" s="47">
        <v>9349.2</v>
      </c>
      <c r="J11" s="69">
        <v>9285.67</v>
      </c>
      <c r="K11" s="47">
        <v>8490.35</v>
      </c>
      <c r="L11" s="47">
        <v>8112.35</v>
      </c>
      <c r="M11" s="7"/>
      <c r="N11" s="8"/>
      <c r="O11" s="8"/>
      <c r="P11" s="8">
        <v>17.38</v>
      </c>
      <c r="Q11" s="8">
        <v>13.28</v>
      </c>
      <c r="R11" s="8">
        <v>5.49</v>
      </c>
      <c r="S11" s="8">
        <v>14.48</v>
      </c>
      <c r="T11" s="8">
        <v>10.7</v>
      </c>
      <c r="U11" s="8">
        <v>2.68</v>
      </c>
      <c r="V11" s="8">
        <v>9.58</v>
      </c>
      <c r="W11" s="8">
        <v>7.98</v>
      </c>
      <c r="X11" s="16">
        <v>5.4</v>
      </c>
      <c r="Y11" s="59">
        <f aca="true" t="shared" si="4" ref="Y11:Y27">SUM(M11:X11)</f>
        <v>86.97000000000001</v>
      </c>
      <c r="Z11" s="81">
        <f aca="true" t="shared" si="5" ref="Z11:Z25">SUM(C11:X11)</f>
        <v>83867.59999999999</v>
      </c>
    </row>
    <row r="12" spans="1:26" ht="15" customHeight="1" thickBot="1">
      <c r="A12" s="36" t="s">
        <v>29</v>
      </c>
      <c r="B12" s="31" t="s">
        <v>61</v>
      </c>
      <c r="C12" s="48">
        <v>4285.05</v>
      </c>
      <c r="D12" s="49">
        <v>9823.66</v>
      </c>
      <c r="E12" s="70">
        <v>3630.11</v>
      </c>
      <c r="F12" s="49">
        <v>89.38</v>
      </c>
      <c r="G12" s="49">
        <v>767.4</v>
      </c>
      <c r="H12" s="70">
        <f>737+1400</f>
        <v>2137</v>
      </c>
      <c r="I12" s="49">
        <v>1572.64</v>
      </c>
      <c r="J12" s="70">
        <v>2124.14</v>
      </c>
      <c r="K12" s="49">
        <v>2960.6</v>
      </c>
      <c r="L12" s="49">
        <v>4950</v>
      </c>
      <c r="M12" s="9">
        <v>840</v>
      </c>
      <c r="N12" s="10">
        <v>3000</v>
      </c>
      <c r="O12" s="10"/>
      <c r="P12" s="10"/>
      <c r="Q12" s="10"/>
      <c r="R12" s="10"/>
      <c r="S12" s="10"/>
      <c r="T12" s="10"/>
      <c r="U12" s="10"/>
      <c r="V12" s="10"/>
      <c r="W12" s="10"/>
      <c r="X12" s="17"/>
      <c r="Y12" s="59">
        <f t="shared" si="4"/>
        <v>3840</v>
      </c>
      <c r="Z12" s="81">
        <f t="shared" si="5"/>
        <v>36179.979999999996</v>
      </c>
    </row>
    <row r="13" spans="1:26" ht="12" customHeight="1" thickBot="1">
      <c r="A13" s="36" t="s">
        <v>30</v>
      </c>
      <c r="B13" s="29" t="s">
        <v>60</v>
      </c>
      <c r="C13" s="48">
        <v>0</v>
      </c>
      <c r="D13" s="49">
        <v>0</v>
      </c>
      <c r="E13" s="70">
        <v>451.83</v>
      </c>
      <c r="F13" s="49">
        <v>0</v>
      </c>
      <c r="G13" s="49">
        <v>0</v>
      </c>
      <c r="H13" s="70"/>
      <c r="I13" s="49">
        <v>600</v>
      </c>
      <c r="J13" s="70">
        <v>0</v>
      </c>
      <c r="K13" s="49">
        <v>500</v>
      </c>
      <c r="L13" s="49">
        <v>0</v>
      </c>
      <c r="M13" s="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7"/>
      <c r="Y13" s="59">
        <f t="shared" si="4"/>
        <v>0</v>
      </c>
      <c r="Z13" s="81">
        <f t="shared" si="5"/>
        <v>1551.83</v>
      </c>
    </row>
    <row r="14" spans="1:26" ht="23.25" customHeight="1" thickBot="1">
      <c r="A14" s="36"/>
      <c r="B14" s="29" t="s">
        <v>66</v>
      </c>
      <c r="C14" s="48"/>
      <c r="D14" s="49"/>
      <c r="E14" s="70"/>
      <c r="F14" s="49"/>
      <c r="G14" s="49"/>
      <c r="H14" s="70"/>
      <c r="I14" s="49"/>
      <c r="J14" s="70">
        <v>3483.8</v>
      </c>
      <c r="K14" s="49">
        <v>0</v>
      </c>
      <c r="L14" s="49">
        <v>4903.7</v>
      </c>
      <c r="M14" s="9"/>
      <c r="N14" s="10"/>
      <c r="O14" s="10"/>
      <c r="P14" s="10"/>
      <c r="Q14" s="10">
        <v>2924.1</v>
      </c>
      <c r="R14" s="10"/>
      <c r="S14" s="10"/>
      <c r="T14" s="10"/>
      <c r="U14" s="10"/>
      <c r="V14" s="10"/>
      <c r="W14" s="10"/>
      <c r="X14" s="17"/>
      <c r="Y14" s="59">
        <f>SUM(M14:X14)</f>
        <v>2924.1</v>
      </c>
      <c r="Z14" s="81">
        <f>SUM(C14:X14)</f>
        <v>11311.6</v>
      </c>
    </row>
    <row r="15" spans="1:26" ht="15" customHeight="1" thickBot="1">
      <c r="A15" s="36" t="s">
        <v>31</v>
      </c>
      <c r="B15" s="31" t="s">
        <v>58</v>
      </c>
      <c r="C15" s="48">
        <v>0</v>
      </c>
      <c r="D15" s="49">
        <v>2206.72</v>
      </c>
      <c r="E15" s="70">
        <v>16031.5</v>
      </c>
      <c r="F15" s="49">
        <v>3152.57</v>
      </c>
      <c r="G15" s="49">
        <v>3167.62</v>
      </c>
      <c r="H15" s="70">
        <v>266.02</v>
      </c>
      <c r="I15" s="49">
        <v>2080.99</v>
      </c>
      <c r="J15" s="70">
        <v>10878.79</v>
      </c>
      <c r="K15" s="49">
        <v>3048.75</v>
      </c>
      <c r="L15" s="49">
        <v>1039.76</v>
      </c>
      <c r="M15" s="9"/>
      <c r="N15" s="10"/>
      <c r="O15" s="10">
        <v>45</v>
      </c>
      <c r="P15" s="10">
        <v>250</v>
      </c>
      <c r="Q15" s="10"/>
      <c r="R15" s="10"/>
      <c r="S15" s="10"/>
      <c r="T15" s="10">
        <v>385</v>
      </c>
      <c r="U15" s="10"/>
      <c r="V15" s="10"/>
      <c r="W15" s="10"/>
      <c r="X15" s="17"/>
      <c r="Y15" s="59">
        <f t="shared" si="4"/>
        <v>680</v>
      </c>
      <c r="Z15" s="81">
        <f>SUM(C15:X15)</f>
        <v>42552.72</v>
      </c>
    </row>
    <row r="16" spans="1:26" ht="14.25" customHeight="1" thickBot="1">
      <c r="A16" s="36" t="s">
        <v>32</v>
      </c>
      <c r="B16" s="31" t="s">
        <v>53</v>
      </c>
      <c r="C16" s="48">
        <v>0</v>
      </c>
      <c r="D16" s="49">
        <v>0</v>
      </c>
      <c r="E16" s="70">
        <v>0</v>
      </c>
      <c r="F16" s="49">
        <v>256</v>
      </c>
      <c r="G16" s="49">
        <v>0</v>
      </c>
      <c r="H16" s="70">
        <v>7.27</v>
      </c>
      <c r="I16" s="49">
        <v>900</v>
      </c>
      <c r="J16" s="70">
        <v>51</v>
      </c>
      <c r="K16" s="49">
        <v>391.05</v>
      </c>
      <c r="L16" s="49">
        <v>78</v>
      </c>
      <c r="M16" s="9">
        <v>25.43</v>
      </c>
      <c r="N16" s="10">
        <v>13</v>
      </c>
      <c r="O16" s="10"/>
      <c r="P16" s="10"/>
      <c r="Q16" s="10"/>
      <c r="R16" s="10"/>
      <c r="S16" s="10"/>
      <c r="T16" s="10"/>
      <c r="U16" s="10"/>
      <c r="V16" s="10"/>
      <c r="W16" s="10"/>
      <c r="X16" s="17"/>
      <c r="Y16" s="59">
        <f t="shared" si="4"/>
        <v>38.43</v>
      </c>
      <c r="Z16" s="81">
        <f>SUM(C16:X16)</f>
        <v>1721.75</v>
      </c>
    </row>
    <row r="17" spans="1:26" ht="14.25" customHeight="1" thickBot="1">
      <c r="A17" s="36" t="s">
        <v>33</v>
      </c>
      <c r="B17" s="31" t="s">
        <v>70</v>
      </c>
      <c r="C17" s="48">
        <v>718.39</v>
      </c>
      <c r="D17" s="49">
        <v>3211.97</v>
      </c>
      <c r="E17" s="70">
        <v>3563.75</v>
      </c>
      <c r="F17" s="49">
        <v>1738.27</v>
      </c>
      <c r="G17" s="49">
        <v>0</v>
      </c>
      <c r="H17" s="70"/>
      <c r="I17" s="49">
        <v>0</v>
      </c>
      <c r="J17" s="70">
        <v>0</v>
      </c>
      <c r="K17" s="49">
        <v>4771.13</v>
      </c>
      <c r="L17" s="49">
        <v>3491.99</v>
      </c>
      <c r="M17" s="9"/>
      <c r="N17" s="9"/>
      <c r="O17" s="9"/>
      <c r="P17" s="9"/>
      <c r="Q17" s="9"/>
      <c r="R17" s="9"/>
      <c r="S17" s="10"/>
      <c r="T17" s="10"/>
      <c r="U17" s="10"/>
      <c r="V17" s="10"/>
      <c r="W17" s="10"/>
      <c r="X17" s="17"/>
      <c r="Y17" s="59">
        <f t="shared" si="4"/>
        <v>0</v>
      </c>
      <c r="Z17" s="81">
        <f t="shared" si="5"/>
        <v>17495.5</v>
      </c>
    </row>
    <row r="18" spans="1:26" ht="14.25" customHeight="1" thickBot="1">
      <c r="A18" s="36"/>
      <c r="B18" s="31" t="s">
        <v>71</v>
      </c>
      <c r="C18" s="48"/>
      <c r="D18" s="49"/>
      <c r="E18" s="70"/>
      <c r="F18" s="49"/>
      <c r="G18" s="49"/>
      <c r="H18" s="70"/>
      <c r="I18" s="49"/>
      <c r="J18" s="70"/>
      <c r="K18" s="49">
        <v>377.07</v>
      </c>
      <c r="L18" s="49">
        <v>475.44</v>
      </c>
      <c r="M18" s="9">
        <v>39.74</v>
      </c>
      <c r="N18" s="9">
        <v>39.74</v>
      </c>
      <c r="O18" s="9">
        <v>39.74</v>
      </c>
      <c r="P18" s="9">
        <v>39.74</v>
      </c>
      <c r="Q18" s="9">
        <v>39.74</v>
      </c>
      <c r="R18" s="9">
        <v>39.74</v>
      </c>
      <c r="S18" s="9">
        <v>39.74</v>
      </c>
      <c r="T18" s="10">
        <v>41.2</v>
      </c>
      <c r="U18" s="10">
        <v>40.47</v>
      </c>
      <c r="V18" s="10">
        <v>40.47</v>
      </c>
      <c r="W18" s="10">
        <v>40.47</v>
      </c>
      <c r="X18" s="10">
        <v>40.47</v>
      </c>
      <c r="Y18" s="59">
        <f>SUM(M18:X18)</f>
        <v>481.2600000000001</v>
      </c>
      <c r="Z18" s="81">
        <f>SUM(C18:X18)</f>
        <v>1333.7700000000002</v>
      </c>
    </row>
    <row r="19" spans="1:26" ht="14.25" customHeight="1" thickBot="1">
      <c r="A19" s="36"/>
      <c r="B19" s="31" t="s">
        <v>72</v>
      </c>
      <c r="C19" s="48"/>
      <c r="D19" s="49"/>
      <c r="E19" s="70"/>
      <c r="F19" s="49"/>
      <c r="G19" s="49"/>
      <c r="H19" s="70"/>
      <c r="I19" s="49"/>
      <c r="J19" s="70"/>
      <c r="K19" s="49">
        <v>243.34</v>
      </c>
      <c r="L19" s="49">
        <v>420.36</v>
      </c>
      <c r="M19" s="9">
        <v>35.18</v>
      </c>
      <c r="N19" s="9">
        <v>35.18</v>
      </c>
      <c r="O19" s="9">
        <v>35.18</v>
      </c>
      <c r="P19" s="9">
        <v>35.18</v>
      </c>
      <c r="Q19" s="9">
        <v>35.18</v>
      </c>
      <c r="R19" s="9">
        <v>35.18</v>
      </c>
      <c r="S19" s="9">
        <v>35.18</v>
      </c>
      <c r="T19" s="10">
        <v>39.14</v>
      </c>
      <c r="U19" s="10">
        <v>39.14</v>
      </c>
      <c r="V19" s="10">
        <v>39.14</v>
      </c>
      <c r="W19" s="10">
        <v>39.14</v>
      </c>
      <c r="X19" s="10">
        <v>39.14</v>
      </c>
      <c r="Y19" s="59">
        <f>SUM(M19:X19)</f>
        <v>441.96</v>
      </c>
      <c r="Z19" s="81">
        <f>SUM(C19:X19)</f>
        <v>1105.6599999999999</v>
      </c>
    </row>
    <row r="20" spans="1:26" ht="13.5" customHeight="1" thickBot="1">
      <c r="A20" s="36" t="s">
        <v>34</v>
      </c>
      <c r="B20" s="31" t="s">
        <v>4</v>
      </c>
      <c r="C20" s="48">
        <v>55.8</v>
      </c>
      <c r="D20" s="49">
        <v>915.77</v>
      </c>
      <c r="E20" s="70">
        <v>587.87</v>
      </c>
      <c r="F20" s="49">
        <v>467.79</v>
      </c>
      <c r="G20" s="49">
        <v>615.6</v>
      </c>
      <c r="H20" s="70"/>
      <c r="I20" s="49">
        <v>0</v>
      </c>
      <c r="J20" s="70">
        <v>0</v>
      </c>
      <c r="K20" s="49">
        <v>0</v>
      </c>
      <c r="L20" s="49">
        <v>0</v>
      </c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7"/>
      <c r="Y20" s="59">
        <f>SUM(M20:X20)</f>
        <v>0</v>
      </c>
      <c r="Z20" s="81">
        <f t="shared" si="5"/>
        <v>2642.83</v>
      </c>
    </row>
    <row r="21" spans="1:26" ht="24.75" customHeight="1" thickBot="1">
      <c r="A21" s="36" t="s">
        <v>35</v>
      </c>
      <c r="B21" s="31" t="s">
        <v>73</v>
      </c>
      <c r="C21" s="48">
        <v>0</v>
      </c>
      <c r="D21" s="49">
        <v>491.1</v>
      </c>
      <c r="E21" s="70">
        <v>1751.23</v>
      </c>
      <c r="F21" s="49">
        <v>2324.86</v>
      </c>
      <c r="G21" s="49">
        <v>3363.67</v>
      </c>
      <c r="H21" s="70">
        <v>1470.21</v>
      </c>
      <c r="I21" s="49">
        <v>1734</v>
      </c>
      <c r="J21" s="70">
        <v>1849.97</v>
      </c>
      <c r="K21" s="49">
        <v>1890.13</v>
      </c>
      <c r="L21" s="49">
        <v>1986.98</v>
      </c>
      <c r="M21" s="9">
        <v>143.97</v>
      </c>
      <c r="N21" s="10">
        <v>150.91</v>
      </c>
      <c r="O21" s="10">
        <v>119.82</v>
      </c>
      <c r="P21" s="10">
        <v>143.51</v>
      </c>
      <c r="Q21" s="10">
        <v>119.38</v>
      </c>
      <c r="R21" s="10">
        <v>91.54</v>
      </c>
      <c r="S21" s="10">
        <v>95.67</v>
      </c>
      <c r="T21" s="10">
        <v>81.09</v>
      </c>
      <c r="U21" s="10">
        <v>91.18</v>
      </c>
      <c r="V21" s="10">
        <v>188.81</v>
      </c>
      <c r="W21" s="10">
        <v>119.39</v>
      </c>
      <c r="X21" s="17">
        <v>101.58</v>
      </c>
      <c r="Y21" s="59">
        <f t="shared" si="4"/>
        <v>1446.85</v>
      </c>
      <c r="Z21" s="81">
        <f t="shared" si="5"/>
        <v>18309</v>
      </c>
    </row>
    <row r="22" spans="1:26" ht="24.75" customHeight="1" thickBot="1">
      <c r="A22" s="36" t="s">
        <v>36</v>
      </c>
      <c r="B22" s="31" t="s">
        <v>62</v>
      </c>
      <c r="C22" s="48">
        <v>213.53</v>
      </c>
      <c r="D22" s="49">
        <v>859.63</v>
      </c>
      <c r="E22" s="70">
        <v>1228.3</v>
      </c>
      <c r="F22" s="49">
        <v>286.07</v>
      </c>
      <c r="G22" s="49">
        <v>203.35</v>
      </c>
      <c r="H22" s="70">
        <v>442.26</v>
      </c>
      <c r="I22" s="49">
        <v>298.85</v>
      </c>
      <c r="J22" s="70">
        <v>263.32</v>
      </c>
      <c r="K22" s="49">
        <v>206.73</v>
      </c>
      <c r="L22" s="49">
        <v>200.44</v>
      </c>
      <c r="M22" s="9">
        <v>11.39</v>
      </c>
      <c r="N22" s="10">
        <v>9.82</v>
      </c>
      <c r="O22" s="10">
        <v>8.56</v>
      </c>
      <c r="P22" s="10">
        <v>9.96</v>
      </c>
      <c r="Q22" s="10">
        <v>1.05</v>
      </c>
      <c r="R22" s="10">
        <v>14.93</v>
      </c>
      <c r="S22" s="10">
        <v>16.74</v>
      </c>
      <c r="T22" s="10">
        <v>19.5</v>
      </c>
      <c r="U22" s="10">
        <v>28.98</v>
      </c>
      <c r="V22" s="10">
        <v>7.17</v>
      </c>
      <c r="W22" s="10">
        <v>26.45</v>
      </c>
      <c r="X22" s="17">
        <v>9.31</v>
      </c>
      <c r="Y22" s="59">
        <f t="shared" si="4"/>
        <v>163.85999999999999</v>
      </c>
      <c r="Z22" s="81">
        <f t="shared" si="5"/>
        <v>4366.340000000001</v>
      </c>
    </row>
    <row r="23" spans="1:26" ht="39" customHeight="1" thickBot="1">
      <c r="A23" s="36" t="s">
        <v>37</v>
      </c>
      <c r="B23" s="31" t="s">
        <v>63</v>
      </c>
      <c r="C23" s="48">
        <v>0</v>
      </c>
      <c r="D23" s="49">
        <v>263.36</v>
      </c>
      <c r="E23" s="70">
        <v>1561.01</v>
      </c>
      <c r="F23" s="49">
        <v>1486.97</v>
      </c>
      <c r="G23" s="49">
        <v>1999.83</v>
      </c>
      <c r="H23" s="70">
        <v>1714.92</v>
      </c>
      <c r="I23" s="49">
        <v>2212.29</v>
      </c>
      <c r="J23" s="70">
        <v>1924.36</v>
      </c>
      <c r="K23" s="49">
        <v>2039.25</v>
      </c>
      <c r="L23" s="49">
        <v>2234.51</v>
      </c>
      <c r="M23" s="9">
        <f>7.11+68.89+84.85</f>
        <v>160.85</v>
      </c>
      <c r="N23" s="10">
        <f>6.7+95.98+82.26</f>
        <v>184.94</v>
      </c>
      <c r="O23" s="10">
        <f>85.79+5.83+63.99</f>
        <v>155.61</v>
      </c>
      <c r="P23" s="10">
        <f>6.23+70.75+227.33</f>
        <v>304.31</v>
      </c>
      <c r="Q23" s="10">
        <f>6.08+78.12+61.61</f>
        <v>145.81</v>
      </c>
      <c r="R23" s="10">
        <f>7.07+54.37+109.09</f>
        <v>170.53</v>
      </c>
      <c r="S23" s="10">
        <f>6.8+92.09+49.69</f>
        <v>148.57999999999998</v>
      </c>
      <c r="T23" s="10">
        <f>6.23+56.61+79.2</f>
        <v>142.04000000000002</v>
      </c>
      <c r="U23" s="10">
        <f>4.53+50.35+72.12</f>
        <v>127</v>
      </c>
      <c r="V23" s="10">
        <f>4.59+80.65+204.93</f>
        <v>290.17</v>
      </c>
      <c r="W23" s="10">
        <f>5.08+50.71+52.78</f>
        <v>108.57</v>
      </c>
      <c r="X23" s="17">
        <f>5.07+153.37+88.59</f>
        <v>247.03</v>
      </c>
      <c r="Y23" s="59">
        <f t="shared" si="4"/>
        <v>2185.44</v>
      </c>
      <c r="Z23" s="81">
        <f t="shared" si="5"/>
        <v>17621.940000000002</v>
      </c>
    </row>
    <row r="24" spans="1:26" ht="15.75" customHeight="1" thickBot="1">
      <c r="A24" s="36" t="s">
        <v>54</v>
      </c>
      <c r="B24" s="31" t="s">
        <v>7</v>
      </c>
      <c r="C24" s="48">
        <v>211.68</v>
      </c>
      <c r="D24" s="49">
        <v>7966.41</v>
      </c>
      <c r="E24" s="70">
        <v>14805.72</v>
      </c>
      <c r="F24" s="49">
        <v>18680.82</v>
      </c>
      <c r="G24" s="49">
        <v>25379.52</v>
      </c>
      <c r="H24" s="70">
        <v>20175.19</v>
      </c>
      <c r="I24" s="49">
        <v>22800.66</v>
      </c>
      <c r="J24" s="70">
        <v>23872.96</v>
      </c>
      <c r="K24" s="49">
        <v>21686.39</v>
      </c>
      <c r="L24" s="49">
        <v>23436.29</v>
      </c>
      <c r="M24" s="9">
        <f>3845.44-1899.08</f>
        <v>1946.3600000000001</v>
      </c>
      <c r="N24" s="10">
        <f>5840.85-4019.55</f>
        <v>1821.3000000000002</v>
      </c>
      <c r="O24" s="10">
        <f>2914.17-1081.55</f>
        <v>1832.6200000000001</v>
      </c>
      <c r="P24" s="10">
        <f>3246.47-1405.34</f>
        <v>1841.1299999999999</v>
      </c>
      <c r="Q24" s="10">
        <f>5811.23-3879.29</f>
        <v>1931.9399999999996</v>
      </c>
      <c r="R24" s="10">
        <f>2762.82-873.32</f>
        <v>1889.5</v>
      </c>
      <c r="S24" s="10">
        <f>2916.15-951.23</f>
        <v>1964.92</v>
      </c>
      <c r="T24" s="10">
        <f>3225.41-1335.73</f>
        <v>1889.6799999999998</v>
      </c>
      <c r="U24" s="10">
        <f>2530.33-695.89</f>
        <v>1834.44</v>
      </c>
      <c r="V24" s="10">
        <f>3112.56-1159.3</f>
        <v>1953.26</v>
      </c>
      <c r="W24" s="10">
        <f>3075.29-1115.78</f>
        <v>1959.51</v>
      </c>
      <c r="X24" s="17">
        <f>2958.87-1016.68</f>
        <v>1942.19</v>
      </c>
      <c r="Y24" s="59">
        <f t="shared" si="4"/>
        <v>22806.849999999995</v>
      </c>
      <c r="Z24" s="81">
        <f t="shared" si="5"/>
        <v>201822.49</v>
      </c>
    </row>
    <row r="25" spans="1:26" ht="13.5" customHeight="1" thickBot="1">
      <c r="A25" s="36" t="s">
        <v>55</v>
      </c>
      <c r="B25" s="32" t="s">
        <v>3</v>
      </c>
      <c r="C25" s="50">
        <v>149.18</v>
      </c>
      <c r="D25" s="51">
        <v>1527.69</v>
      </c>
      <c r="E25" s="71">
        <v>2381.41</v>
      </c>
      <c r="F25" s="51">
        <v>5026.85</v>
      </c>
      <c r="G25" s="51">
        <v>6024.55</v>
      </c>
      <c r="H25" s="71">
        <v>6302.6</v>
      </c>
      <c r="I25" s="51">
        <v>6834.88</v>
      </c>
      <c r="J25" s="71">
        <v>7356.57</v>
      </c>
      <c r="K25" s="51">
        <v>7866.71</v>
      </c>
      <c r="L25" s="51">
        <v>7854</v>
      </c>
      <c r="M25" s="11">
        <f>518.2+1.79+122.53</f>
        <v>642.52</v>
      </c>
      <c r="N25" s="12">
        <f>480.5+0.19+105.27</f>
        <v>585.96</v>
      </c>
      <c r="O25" s="12">
        <f>555.1+1.89+120.65</f>
        <v>677.64</v>
      </c>
      <c r="P25" s="12">
        <f>495.8+1.69+107.77</f>
        <v>605.26</v>
      </c>
      <c r="Q25" s="12">
        <f>492.1+1.67+106.97</f>
        <v>600.74</v>
      </c>
      <c r="R25" s="12">
        <f>422.6+1.44+91.87</f>
        <v>515.9100000000001</v>
      </c>
      <c r="S25" s="12">
        <f>492.2+1.67+106.97</f>
        <v>600.84</v>
      </c>
      <c r="T25" s="12">
        <f>507.7+1.77+107.59</f>
        <v>617.06</v>
      </c>
      <c r="U25" s="12">
        <f>301.7+1.06+63.68</f>
        <v>366.44</v>
      </c>
      <c r="V25" s="12">
        <f>480.8+1.69+101.47</f>
        <v>583.96</v>
      </c>
      <c r="W25" s="12">
        <f>637.1+2.23+134.45</f>
        <v>773.78</v>
      </c>
      <c r="X25" s="19">
        <f>472.4+1.66+99.69</f>
        <v>573.75</v>
      </c>
      <c r="Y25" s="59">
        <f t="shared" si="4"/>
        <v>7143.86</v>
      </c>
      <c r="Z25" s="81">
        <f t="shared" si="5"/>
        <v>58468.29999999999</v>
      </c>
    </row>
    <row r="26" spans="1:26" ht="13.5" customHeight="1" thickBot="1">
      <c r="A26" s="36"/>
      <c r="B26" s="43" t="s">
        <v>59</v>
      </c>
      <c r="C26" s="73"/>
      <c r="D26" s="74"/>
      <c r="E26" s="75"/>
      <c r="F26" s="74"/>
      <c r="G26" s="74"/>
      <c r="H26" s="84">
        <f>H7*5%</f>
        <v>3097.2720000000004</v>
      </c>
      <c r="I26" s="77">
        <f>I7*5%</f>
        <v>3097.2720000000004</v>
      </c>
      <c r="J26" s="84">
        <f>J7*5%</f>
        <v>3075.284</v>
      </c>
      <c r="K26" s="89">
        <f>K7*5%</f>
        <v>2020.688</v>
      </c>
      <c r="L26" s="89">
        <f>SUM(L7+L8+L9)*5%</f>
        <v>3513.8755000000006</v>
      </c>
      <c r="M26" s="76">
        <f>SUM(M7+M8+M9)*5%</f>
        <v>266.34499999999997</v>
      </c>
      <c r="N26" s="76">
        <f aca="true" t="shared" si="6" ref="N26:X26">SUM(N7+N8+N9)*5%</f>
        <v>266.37</v>
      </c>
      <c r="O26" s="76">
        <f t="shared" si="6"/>
        <v>266.34499999999997</v>
      </c>
      <c r="P26" s="76">
        <f t="shared" si="6"/>
        <v>266.34499999999997</v>
      </c>
      <c r="Q26" s="76">
        <f t="shared" si="6"/>
        <v>266.34499999999997</v>
      </c>
      <c r="R26" s="76">
        <f t="shared" si="6"/>
        <v>266.34499999999997</v>
      </c>
      <c r="S26" s="76">
        <f t="shared" si="6"/>
        <v>267.25600000000003</v>
      </c>
      <c r="T26" s="76">
        <f t="shared" si="6"/>
        <v>267.25600000000003</v>
      </c>
      <c r="U26" s="76">
        <f t="shared" si="6"/>
        <v>267.25600000000003</v>
      </c>
      <c r="V26" s="76">
        <f t="shared" si="6"/>
        <v>267.25600000000003</v>
      </c>
      <c r="W26" s="76">
        <f t="shared" si="6"/>
        <v>267.25600000000003</v>
      </c>
      <c r="X26" s="76">
        <f t="shared" si="6"/>
        <v>267.25600000000003</v>
      </c>
      <c r="Y26" s="77">
        <f t="shared" si="4"/>
        <v>3201.6309999999994</v>
      </c>
      <c r="Z26" s="82"/>
    </row>
    <row r="27" spans="1:26" ht="13.5" customHeight="1" thickBot="1">
      <c r="A27" s="36" t="s">
        <v>38</v>
      </c>
      <c r="B27" s="63" t="s">
        <v>50</v>
      </c>
      <c r="C27" s="64"/>
      <c r="D27" s="65"/>
      <c r="E27" s="72"/>
      <c r="F27" s="65"/>
      <c r="G27" s="65"/>
      <c r="H27" s="72"/>
      <c r="I27" s="65"/>
      <c r="J27" s="72"/>
      <c r="K27" s="86">
        <f aca="true" t="shared" si="7" ref="K27:X27">SUM(K7+K8+K9-K10)-K26</f>
        <v>13655.462000000009</v>
      </c>
      <c r="L27" s="86">
        <f>SUM(L7+L8+L9-L10)-L26</f>
        <v>7579.814500000017</v>
      </c>
      <c r="M27" s="78">
        <f t="shared" si="7"/>
        <v>1215.1149999999996</v>
      </c>
      <c r="N27" s="78">
        <f t="shared" si="7"/>
        <v>-779.8199999999998</v>
      </c>
      <c r="O27" s="78">
        <f t="shared" si="7"/>
        <v>2146.3849999999998</v>
      </c>
      <c r="P27" s="78">
        <f t="shared" si="7"/>
        <v>1814.0849999999994</v>
      </c>
      <c r="Q27" s="78">
        <f t="shared" si="7"/>
        <v>-750.6649999999997</v>
      </c>
      <c r="R27" s="78">
        <f t="shared" si="7"/>
        <v>2297.735</v>
      </c>
      <c r="S27" s="78">
        <f t="shared" si="7"/>
        <v>2161.714</v>
      </c>
      <c r="T27" s="78">
        <f t="shared" si="7"/>
        <v>1852.454</v>
      </c>
      <c r="U27" s="78">
        <f t="shared" si="7"/>
        <v>2547.534</v>
      </c>
      <c r="V27" s="78">
        <f t="shared" si="7"/>
        <v>1965.3039999999999</v>
      </c>
      <c r="W27" s="78">
        <f t="shared" si="7"/>
        <v>2002.5739999999998</v>
      </c>
      <c r="X27" s="78">
        <f t="shared" si="7"/>
        <v>2118.994</v>
      </c>
      <c r="Y27" s="77">
        <f t="shared" si="4"/>
        <v>18591.408999999996</v>
      </c>
      <c r="Z27" s="82"/>
    </row>
    <row r="28" spans="1:26" ht="14.25" customHeight="1" thickBot="1">
      <c r="A28" s="90" t="s">
        <v>39</v>
      </c>
      <c r="B28" s="98" t="s">
        <v>21</v>
      </c>
      <c r="C28" s="99">
        <v>3327.76</v>
      </c>
      <c r="D28" s="100">
        <v>4599.15</v>
      </c>
      <c r="E28" s="101">
        <f>SUM(E7-E10)</f>
        <v>6723.119999999981</v>
      </c>
      <c r="F28" s="102">
        <f>SUM(F7-F10)</f>
        <v>19166.370000000003</v>
      </c>
      <c r="G28" s="102">
        <f>SUM(G7-G10)</f>
        <v>10663.220000000001</v>
      </c>
      <c r="H28" s="103">
        <f>SUM(H7-H10)-H26</f>
        <v>15847.868000000006</v>
      </c>
      <c r="I28" s="104">
        <f>SUM(I7-I10)-I26</f>
        <v>10464.658</v>
      </c>
      <c r="J28" s="103">
        <f>SUM(J7-J10)-J26</f>
        <v>-2660.1840000000016</v>
      </c>
      <c r="K28" s="105">
        <f>SUM(K7+K8+K9-K10)-K26</f>
        <v>13655.462000000009</v>
      </c>
      <c r="L28" s="105">
        <f>SUM(L7+L8+L9-L10)-L26</f>
        <v>7579.814500000017</v>
      </c>
      <c r="M28" s="106">
        <f>SUM(M7+M8+M9-M10)-M26</f>
        <v>1215.1149999999996</v>
      </c>
      <c r="N28" s="107">
        <f>SUM(N27+M28)</f>
        <v>435.29499999999973</v>
      </c>
      <c r="O28" s="107">
        <f aca="true" t="shared" si="8" ref="O28:X28">SUM(O27+N28)</f>
        <v>2581.6799999999994</v>
      </c>
      <c r="P28" s="107">
        <f t="shared" si="8"/>
        <v>4395.7649999999985</v>
      </c>
      <c r="Q28" s="107">
        <f t="shared" si="8"/>
        <v>3645.0999999999985</v>
      </c>
      <c r="R28" s="107">
        <f t="shared" si="8"/>
        <v>5942.834999999999</v>
      </c>
      <c r="S28" s="107">
        <f t="shared" si="8"/>
        <v>8104.548999999999</v>
      </c>
      <c r="T28" s="107">
        <f t="shared" si="8"/>
        <v>9957.002999999999</v>
      </c>
      <c r="U28" s="107">
        <f t="shared" si="8"/>
        <v>12504.536999999998</v>
      </c>
      <c r="V28" s="107">
        <f t="shared" si="8"/>
        <v>14469.840999999999</v>
      </c>
      <c r="W28" s="107">
        <f t="shared" si="8"/>
        <v>16472.414999999997</v>
      </c>
      <c r="X28" s="107">
        <f t="shared" si="8"/>
        <v>18591.408999999996</v>
      </c>
      <c r="Y28" s="102"/>
      <c r="Z28" s="108"/>
    </row>
    <row r="29" spans="1:26" ht="0.75" customHeight="1" thickBot="1">
      <c r="A29" s="36" t="s">
        <v>40</v>
      </c>
      <c r="B29" s="43" t="s">
        <v>22</v>
      </c>
      <c r="C29" s="39">
        <v>3327.76</v>
      </c>
      <c r="D29" s="43">
        <v>7926.92</v>
      </c>
      <c r="E29" s="18">
        <f>SUM(E7-E10,D29)</f>
        <v>14650.03999999998</v>
      </c>
      <c r="F29" s="59">
        <f>SUM(F7-F10,E29)</f>
        <v>33816.40999999998</v>
      </c>
      <c r="G29" s="59">
        <f>SUM(G7-G10,F29)</f>
        <v>44479.62999999998</v>
      </c>
      <c r="H29" s="85">
        <f aca="true" t="shared" si="9" ref="H29:M29">SUM(H28+G29)</f>
        <v>60327.49799999999</v>
      </c>
      <c r="I29" s="77">
        <f t="shared" si="9"/>
        <v>70792.15599999999</v>
      </c>
      <c r="J29" s="77">
        <f t="shared" si="9"/>
        <v>68131.97199999998</v>
      </c>
      <c r="K29" s="77">
        <f t="shared" si="9"/>
        <v>81787.434</v>
      </c>
      <c r="L29" s="77">
        <f t="shared" si="9"/>
        <v>89367.24850000002</v>
      </c>
      <c r="M29" s="77">
        <f t="shared" si="9"/>
        <v>90582.36350000002</v>
      </c>
      <c r="N29" s="79">
        <f>SUM(N27+M29)</f>
        <v>89802.54350000001</v>
      </c>
      <c r="O29" s="79">
        <f aca="true" t="shared" si="10" ref="O29:W29">SUM(O27+N29)</f>
        <v>91948.92850000001</v>
      </c>
      <c r="P29" s="79">
        <f t="shared" si="10"/>
        <v>93763.01350000002</v>
      </c>
      <c r="Q29" s="79">
        <f t="shared" si="10"/>
        <v>93012.34850000002</v>
      </c>
      <c r="R29" s="79">
        <f t="shared" si="10"/>
        <v>95310.08350000002</v>
      </c>
      <c r="S29" s="79">
        <f t="shared" si="10"/>
        <v>97471.79750000002</v>
      </c>
      <c r="T29" s="79">
        <f t="shared" si="10"/>
        <v>99324.25150000001</v>
      </c>
      <c r="U29" s="79">
        <f t="shared" si="10"/>
        <v>101871.78550000001</v>
      </c>
      <c r="V29" s="79">
        <f t="shared" si="10"/>
        <v>103837.08950000002</v>
      </c>
      <c r="W29" s="79">
        <f t="shared" si="10"/>
        <v>105839.66350000001</v>
      </c>
      <c r="X29" s="79">
        <f>SUM(X27+W29)</f>
        <v>107958.65750000002</v>
      </c>
      <c r="Y29" s="59"/>
      <c r="Z29" s="53"/>
    </row>
    <row r="30" spans="1:26" ht="10.5" customHeight="1" hidden="1" thickBot="1">
      <c r="A30" s="36" t="s">
        <v>41</v>
      </c>
      <c r="B30" s="43" t="s">
        <v>6</v>
      </c>
      <c r="C30" s="40"/>
      <c r="D30" s="44"/>
      <c r="E30" s="44"/>
      <c r="F30" s="40"/>
      <c r="G30" s="40"/>
      <c r="H30" s="40"/>
      <c r="I30" s="40"/>
      <c r="J30" s="40"/>
      <c r="K30" s="40"/>
      <c r="L30" s="40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0"/>
      <c r="Y30" s="59"/>
      <c r="Z30" s="54"/>
    </row>
    <row r="31" spans="1:26" ht="15" customHeight="1" hidden="1" thickBot="1">
      <c r="A31" s="37" t="s">
        <v>42</v>
      </c>
      <c r="B31" s="33" t="s">
        <v>23</v>
      </c>
      <c r="C31" s="40"/>
      <c r="D31" s="44"/>
      <c r="E31" s="44"/>
      <c r="F31" s="40"/>
      <c r="G31" s="40"/>
      <c r="H31" s="40"/>
      <c r="I31" s="40"/>
      <c r="J31" s="40"/>
      <c r="K31" s="40"/>
      <c r="L31" s="40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0"/>
      <c r="Y31" s="60"/>
      <c r="Z31" s="55"/>
    </row>
    <row r="32" spans="1:26" ht="24" customHeight="1" hidden="1" thickBot="1">
      <c r="A32" s="37" t="s">
        <v>45</v>
      </c>
      <c r="B32" s="34" t="s">
        <v>46</v>
      </c>
      <c r="C32" s="41"/>
      <c r="D32" s="45"/>
      <c r="E32" s="45"/>
      <c r="F32" s="41"/>
      <c r="G32" s="41"/>
      <c r="H32" s="41"/>
      <c r="I32" s="41"/>
      <c r="J32" s="41"/>
      <c r="K32" s="41"/>
      <c r="L32" s="41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5">
        <f>SUM(X28-X30)</f>
        <v>18591.408999999996</v>
      </c>
      <c r="Y32" s="61"/>
      <c r="Z32" s="56"/>
    </row>
    <row r="33" spans="1:26" ht="24" customHeight="1" hidden="1" thickBot="1">
      <c r="A33" s="62" t="s">
        <v>49</v>
      </c>
      <c r="B33" s="34" t="s">
        <v>24</v>
      </c>
      <c r="C33" s="41"/>
      <c r="D33" s="45"/>
      <c r="E33" s="45"/>
      <c r="F33" s="41"/>
      <c r="G33" s="41"/>
      <c r="H33" s="41"/>
      <c r="I33" s="41"/>
      <c r="J33" s="41"/>
      <c r="K33" s="41"/>
      <c r="L33" s="41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5">
        <f>SUM(X29-X30)</f>
        <v>107958.65750000002</v>
      </c>
      <c r="Y33" s="61"/>
      <c r="Z33" s="56"/>
    </row>
    <row r="34" spans="3:26" ht="0.75" customHeight="1" hidden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</row>
    <row r="35" ht="16.5" customHeight="1" hidden="1"/>
    <row r="36" ht="12.75" hidden="1"/>
    <row r="37" ht="12.75" hidden="1"/>
    <row r="38" ht="12.75" hidden="1"/>
    <row r="39" ht="12.75">
      <c r="B39" t="s">
        <v>51</v>
      </c>
    </row>
    <row r="43" ht="12.75" customHeight="1"/>
    <row r="44" ht="12.75" customHeight="1"/>
  </sheetData>
  <sheetProtection/>
  <mergeCells count="5">
    <mergeCell ref="B4:Z4"/>
    <mergeCell ref="B5:Z5"/>
    <mergeCell ref="B3:Z3"/>
    <mergeCell ref="B1:O1"/>
    <mergeCell ref="B2:X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2020-02-20T11:42:23Z</cp:lastPrinted>
  <dcterms:created xsi:type="dcterms:W3CDTF">2011-06-16T11:06:26Z</dcterms:created>
  <dcterms:modified xsi:type="dcterms:W3CDTF">2020-03-11T08:25:22Z</dcterms:modified>
  <cp:category/>
  <cp:version/>
  <cp:contentType/>
  <cp:contentStatus/>
</cp:coreProperties>
</file>