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<sst xmlns="http://schemas.openxmlformats.org/spreadsheetml/2006/main" count="80" uniqueCount="80">
  <si>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</si>
  <si>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</si>
  <si>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</si>
  <si>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</si>
  <si>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</si>
  <si>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</si>
  <si>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</si>
  <si>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</si>
  <si>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</si>
  <si>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</si>
  <si>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</si>
  <si>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</si>
  <si>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</si>
  <si>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</si>
  <si>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</si>
  <si>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</si>
  <si>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</si>
  <si>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</si>
  <si>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</si>
  <si>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</si>
  <si>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</si>
  <si>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</si>
  <si>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</si>
  <si>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</si>
  <si>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</si>
  <si>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</si>
  <si>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</si>
  <si>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</si>
  <si>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</si>
  <si>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</si>
  <si>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</si>
  <si>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</si>
  <si>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</si>
  <si>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</si>
  <si>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</si>
  <si>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</si>
  <si>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</si>
  <si>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</si>
  <si>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</si>
  <si>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</si>
  <si>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</si>
  <si>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</si>
  <si>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</si>
  <si>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</si>
  <si>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</si>
  <si>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</si>
  <si>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</si>
  <si>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Луначарского д.31</t>
  </si>
  <si>
    <t>Благоустройство  территории</t>
  </si>
  <si>
    <t>11</t>
  </si>
  <si>
    <t>Итого за 2011 г</t>
  </si>
  <si>
    <t>Проверка дымовых каналов</t>
  </si>
  <si>
    <t>12</t>
  </si>
  <si>
    <t>Результат за месяц</t>
  </si>
  <si>
    <t>Итого за 2012 г</t>
  </si>
  <si>
    <t>4.12</t>
  </si>
  <si>
    <t>4.13</t>
  </si>
  <si>
    <t>4.14</t>
  </si>
  <si>
    <t>Итого за 2013 г</t>
  </si>
  <si>
    <t>Итого за 2014</t>
  </si>
  <si>
    <t xml:space="preserve">Материалы </t>
  </si>
  <si>
    <t>рентабельность 5%</t>
  </si>
  <si>
    <t>Итого за 2015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</si>
  <si>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</si>
  <si>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</si>
  <si>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</si>
  <si>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</si>
  <si>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</t>
  </si>
  <si>
    <t>Итого за 2017</t>
  </si>
  <si>
    <t>Начислено  СОИД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</si>
  <si>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</si>
  <si>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</si>
  <si>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</si>
  <si>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Транспортные(ГСМ,зап.части,амортизация,страхование)</t>
  </si>
  <si>
    <t>Итого за 2018</t>
  </si>
  <si>
    <t>Итого за 2019</t>
  </si>
  <si>
    <t>Всего за 2009-2019</t>
  </si>
  <si>
    <t>Вывоз ТБО (Утилизация)</t>
  </si>
  <si>
    <t>Дом по ул.Луначарского д.31 вступил в ООО "Наш дом" с октября 2009 года   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</si>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</sst>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5" fillId="0" borderId="43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11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7" fillId="0" borderId="32" xfId="0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3" xfId="0" applyNumberFormat="1" applyFont="1" applyBorder="1" applyAlignment="1">
      <alignment/>
    </xf>
    <xf numFmtId="0" fontId="19" fillId="0" borderId="48" xfId="0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2" fontId="21" fillId="0" borderId="4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3" xfId="0" applyFont="1" applyBorder="1" applyAlignment="1">
      <alignment wrapText="1"/>
    </xf>
    <xf numFmtId="0" fontId="28" fillId="0" borderId="50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28" fillId="0" borderId="50" xfId="0" applyFont="1" applyBorder="1" applyAlignment="1">
      <alignment/>
    </xf>
    <xf numFmtId="0" fontId="28" fillId="0" borderId="51" xfId="0" applyFont="1" applyBorder="1" applyAlignment="1">
      <alignment/>
    </xf>
    <xf numFmtId="2" fontId="28" fillId="0" borderId="50" xfId="0" applyNumberFormat="1" applyFont="1" applyBorder="1" applyAlignment="1">
      <alignment/>
    </xf>
    <xf numFmtId="2" fontId="28" fillId="0" borderId="51" xfId="0" applyNumberFormat="1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52" xfId="0" applyNumberFormat="1" applyFont="1" applyBorder="1" applyAlignment="1">
      <alignment/>
    </xf>
    <xf numFmtId="2" fontId="28" fillId="0" borderId="53" xfId="0" applyNumberFormat="1" applyFont="1" applyBorder="1" applyAlignment="1">
      <alignment/>
    </xf>
    <xf numFmtId="0" fontId="22" fillId="0" borderId="4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A7">
      <selection activeCell="B2" sqref="B2:Y2"/>
    </sheetView>
  </sheetViews>
  <sheetFormatPr defaultColWidth="9.00390625" defaultRowHeight="12.75"/>
  <cols>
    <col min="1" max="1" width="3.75390625" style="26" customWidth="1"/>
    <col min="2" max="2" width="22.375" style="0" customWidth="1"/>
    <col min="3" max="3" width="7.125" style="0" hidden="1" customWidth="1"/>
    <col min="4" max="4" width="7.75390625" style="0" hidden="1" customWidth="1"/>
    <col min="5" max="5" width="8.00390625" style="0" hidden="1" customWidth="1"/>
    <col min="6" max="7" width="10.125" style="0" hidden="1" customWidth="1"/>
    <col min="8" max="8" width="8.375" style="0" hidden="1" customWidth="1"/>
    <col min="9" max="9" width="0.12890625" style="0" hidden="1" customWidth="1"/>
    <col min="10" max="10" width="9.875" style="0" hidden="1" customWidth="1"/>
    <col min="11" max="11" width="9.375" style="0" hidden="1" customWidth="1"/>
    <col min="12" max="12" width="9.75390625" style="0" hidden="1" customWidth="1"/>
    <col min="13" max="13" width="8.00390625" style="0" customWidth="1"/>
    <col min="14" max="14" width="8.25390625" style="0" customWidth="1"/>
    <col min="15" max="15" width="9.00390625" style="0" customWidth="1"/>
    <col min="16" max="16" width="8.125" style="0" customWidth="1"/>
    <col min="17" max="17" width="8.625" style="0" customWidth="1"/>
    <col min="18" max="18" width="8.125" style="0" customWidth="1"/>
    <col min="19" max="19" width="8.25390625" style="0" customWidth="1"/>
    <col min="20" max="20" width="8.75390625" style="0" customWidth="1"/>
    <col min="21" max="21" width="8.125" style="0" customWidth="1"/>
    <col min="22" max="22" width="9.00390625" style="0" customWidth="1"/>
    <col min="23" max="23" width="8.125" style="0" customWidth="1"/>
    <col min="24" max="24" width="7.75390625" style="0" customWidth="1"/>
    <col min="25" max="25" width="9.25390625" style="0" customWidth="1"/>
    <col min="26" max="26" width="10.125" style="0" customWidth="1"/>
  </cols>
  <sheetData>
    <row r="1" spans="2:31" ht="12.75" customHeight="1">
      <c r="B1" s="111" t="s">
        <v>79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11" t="s">
        <v>78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2"/>
      <c r="X2" s="112"/>
      <c r="Y2" s="112"/>
      <c r="Z2" s="4"/>
      <c r="AA2" s="4"/>
      <c r="AB2" s="4"/>
      <c r="AC2" s="4"/>
      <c r="AD2" s="4"/>
      <c r="AE2" s="4"/>
    </row>
    <row r="3" spans="2:31" ht="12.75" customHeight="1"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3"/>
      <c r="AB3" s="3"/>
      <c r="AC3" s="3"/>
      <c r="AD3" s="3"/>
      <c r="AE3" s="3"/>
    </row>
    <row r="4" spans="2:31" ht="15" customHeight="1">
      <c r="B4" s="109" t="s">
        <v>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2"/>
      <c r="AB4" s="2"/>
      <c r="AC4" s="2"/>
      <c r="AD4" s="2"/>
      <c r="AE4" s="2"/>
    </row>
    <row r="5" spans="2:31" ht="16.5" customHeight="1" thickBot="1">
      <c r="B5" s="109" t="s">
        <v>47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2"/>
      <c r="AB5" s="2"/>
      <c r="AC5" s="2"/>
      <c r="AD5" s="2"/>
      <c r="AE5" s="2"/>
    </row>
    <row r="6" spans="1:31" ht="31.5" customHeight="1" thickBot="1">
      <c r="A6" s="35" t="s">
        <v>26</v>
      </c>
      <c r="B6" s="27" t="s">
        <v>6</v>
      </c>
      <c r="C6" s="38" t="s">
        <v>43</v>
      </c>
      <c r="D6" s="42" t="s">
        <v>44</v>
      </c>
      <c r="E6" s="59" t="s">
        <v>50</v>
      </c>
      <c r="F6" s="59" t="s">
        <v>54</v>
      </c>
      <c r="G6" s="59" t="s">
        <v>58</v>
      </c>
      <c r="H6" s="85" t="s">
        <v>59</v>
      </c>
      <c r="I6" s="59" t="s">
        <v>62</v>
      </c>
      <c r="J6" s="59" t="s">
        <v>67</v>
      </c>
      <c r="K6" s="59" t="s">
        <v>68</v>
      </c>
      <c r="L6" s="59" t="s">
        <v>74</v>
      </c>
      <c r="M6" s="6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17</v>
      </c>
      <c r="U6" s="5" t="s">
        <v>18</v>
      </c>
      <c r="V6" s="5" t="s">
        <v>19</v>
      </c>
      <c r="W6" s="5" t="s">
        <v>21</v>
      </c>
      <c r="X6" s="15" t="s">
        <v>20</v>
      </c>
      <c r="Y6" s="59" t="s">
        <v>75</v>
      </c>
      <c r="Z6" s="54" t="s">
        <v>76</v>
      </c>
      <c r="AA6" s="1"/>
      <c r="AB6" s="1"/>
      <c r="AC6" s="1"/>
      <c r="AD6" s="1"/>
      <c r="AE6" s="1"/>
    </row>
    <row r="7" spans="1:26" ht="13.5" thickBot="1">
      <c r="A7" s="36" t="s">
        <v>27</v>
      </c>
      <c r="B7" s="28" t="s">
        <v>1</v>
      </c>
      <c r="C7" s="69">
        <v>13250.76</v>
      </c>
      <c r="D7" s="70">
        <v>53045.36</v>
      </c>
      <c r="E7" s="71">
        <v>53078.48</v>
      </c>
      <c r="F7" s="70">
        <v>52771.2</v>
      </c>
      <c r="G7" s="70">
        <v>52274.4</v>
      </c>
      <c r="H7" s="71">
        <v>52881.6</v>
      </c>
      <c r="I7" s="70">
        <v>52936.8</v>
      </c>
      <c r="J7" s="70">
        <v>52936.8</v>
      </c>
      <c r="K7" s="70">
        <v>52936.8</v>
      </c>
      <c r="L7" s="70">
        <v>52936.8</v>
      </c>
      <c r="M7" s="7">
        <v>4123.7</v>
      </c>
      <c r="N7" s="7">
        <v>4123.7</v>
      </c>
      <c r="O7" s="7">
        <v>4123.7</v>
      </c>
      <c r="P7" s="7">
        <v>4123.7</v>
      </c>
      <c r="Q7" s="7">
        <v>4123.7</v>
      </c>
      <c r="R7" s="7">
        <v>4123.7</v>
      </c>
      <c r="S7" s="7">
        <v>4123.7</v>
      </c>
      <c r="T7" s="7">
        <v>4123.7</v>
      </c>
      <c r="U7" s="7">
        <v>4123.7</v>
      </c>
      <c r="V7" s="7">
        <v>4123.7</v>
      </c>
      <c r="W7" s="7">
        <v>4123.7</v>
      </c>
      <c r="X7" s="7">
        <v>4123.7</v>
      </c>
      <c r="Y7" s="60">
        <f>SUM(M7:X7)</f>
        <v>49484.39999999999</v>
      </c>
      <c r="Z7" s="82">
        <f>SUM(C7:X7)</f>
        <v>538533.3999999999</v>
      </c>
    </row>
    <row r="8" spans="1:26" ht="13.5" thickBot="1">
      <c r="A8" s="36"/>
      <c r="B8" s="28" t="s">
        <v>69</v>
      </c>
      <c r="C8" s="69"/>
      <c r="D8" s="88"/>
      <c r="E8" s="71"/>
      <c r="F8" s="88"/>
      <c r="G8" s="88"/>
      <c r="H8" s="71"/>
      <c r="I8" s="88"/>
      <c r="J8" s="88"/>
      <c r="K8" s="88">
        <v>5108.13</v>
      </c>
      <c r="L8" s="88">
        <v>3245.41</v>
      </c>
      <c r="M8" s="7">
        <f aca="true" t="shared" si="0" ref="M8:R8">44.36+39.26</f>
        <v>83.62</v>
      </c>
      <c r="N8" s="7">
        <f t="shared" si="0"/>
        <v>83.62</v>
      </c>
      <c r="O8" s="7">
        <f t="shared" si="0"/>
        <v>83.62</v>
      </c>
      <c r="P8" s="7">
        <f t="shared" si="0"/>
        <v>83.62</v>
      </c>
      <c r="Q8" s="7">
        <f t="shared" si="0"/>
        <v>83.62</v>
      </c>
      <c r="R8" s="7">
        <f t="shared" si="0"/>
        <v>83.62</v>
      </c>
      <c r="S8" s="8">
        <f aca="true" t="shared" si="1" ref="S8:X8">45.17+43.69</f>
        <v>88.86</v>
      </c>
      <c r="T8" s="8">
        <f t="shared" si="1"/>
        <v>88.86</v>
      </c>
      <c r="U8" s="8">
        <f t="shared" si="1"/>
        <v>88.86</v>
      </c>
      <c r="V8" s="8">
        <f t="shared" si="1"/>
        <v>88.86</v>
      </c>
      <c r="W8" s="8">
        <f t="shared" si="1"/>
        <v>88.86</v>
      </c>
      <c r="X8" s="8">
        <f t="shared" si="1"/>
        <v>88.86</v>
      </c>
      <c r="Y8" s="60">
        <f>SUM(M8:X8)</f>
        <v>1034.88</v>
      </c>
      <c r="Z8" s="82">
        <f>SUM(C8:X8)</f>
        <v>9388.42000000001</v>
      </c>
    </row>
    <row r="9" spans="1:26" s="97" customFormat="1" ht="13.5" thickBot="1">
      <c r="A9" s="90" t="s">
        <v>28</v>
      </c>
      <c r="B9" s="91" t="s">
        <v>2</v>
      </c>
      <c r="C9" s="92">
        <f aca="true" t="shared" si="2" ref="C9:M9">SUM(C10:C24)</f>
        <v>8440.24</v>
      </c>
      <c r="D9" s="93">
        <f t="shared" si="2"/>
        <v>44918.33</v>
      </c>
      <c r="E9" s="92">
        <f t="shared" si="2"/>
        <v>72491.25</v>
      </c>
      <c r="F9" s="93">
        <f t="shared" si="2"/>
        <v>48210.39</v>
      </c>
      <c r="G9" s="93">
        <f t="shared" si="2"/>
        <v>55278.579999999994</v>
      </c>
      <c r="H9" s="94">
        <f>SUM(H10:H24)</f>
        <v>52160.73000000001</v>
      </c>
      <c r="I9" s="93">
        <f>SUM(I10:I24)</f>
        <v>45590.66</v>
      </c>
      <c r="J9" s="93">
        <f>SUM(J10:J24)</f>
        <v>46597.56</v>
      </c>
      <c r="K9" s="93">
        <f>SUM(K10:K24)</f>
        <v>52079.549999999996</v>
      </c>
      <c r="L9" s="93">
        <f t="shared" si="2"/>
        <v>60263.35</v>
      </c>
      <c r="M9" s="95">
        <f t="shared" si="2"/>
        <v>3571.4799999999996</v>
      </c>
      <c r="N9" s="95">
        <f aca="true" t="shared" si="3" ref="N9:X9">SUM(N10:N24)</f>
        <v>3439.18</v>
      </c>
      <c r="O9" s="95">
        <f t="shared" si="3"/>
        <v>3327.59</v>
      </c>
      <c r="P9" s="95">
        <f t="shared" si="3"/>
        <v>3857.2000000000003</v>
      </c>
      <c r="Q9" s="95">
        <f t="shared" si="3"/>
        <v>7151.170000000001</v>
      </c>
      <c r="R9" s="95">
        <f t="shared" si="3"/>
        <v>2404.65</v>
      </c>
      <c r="S9" s="95">
        <f t="shared" si="3"/>
        <v>3480.6200000000003</v>
      </c>
      <c r="T9" s="95">
        <f t="shared" si="3"/>
        <v>4653.5</v>
      </c>
      <c r="U9" s="95">
        <f t="shared" si="3"/>
        <v>2311.34</v>
      </c>
      <c r="V9" s="95">
        <f t="shared" si="3"/>
        <v>2815.6000000000004</v>
      </c>
      <c r="W9" s="95">
        <f t="shared" si="3"/>
        <v>3495.13</v>
      </c>
      <c r="X9" s="92">
        <f t="shared" si="3"/>
        <v>3596.23</v>
      </c>
      <c r="Y9" s="93">
        <f>SUM(M9:X9)</f>
        <v>44103.69</v>
      </c>
      <c r="Z9" s="96">
        <f>SUM(C9:X9)</f>
        <v>530134.33</v>
      </c>
    </row>
    <row r="10" spans="1:26" ht="13.5" customHeight="1" thickBot="1">
      <c r="A10" s="36" t="s">
        <v>29</v>
      </c>
      <c r="B10" s="30" t="s">
        <v>77</v>
      </c>
      <c r="C10" s="46">
        <v>2072</v>
      </c>
      <c r="D10" s="47">
        <v>7931.45</v>
      </c>
      <c r="E10" s="72">
        <v>8855.38</v>
      </c>
      <c r="F10" s="47">
        <v>9794.95</v>
      </c>
      <c r="G10" s="47">
        <v>10500.55</v>
      </c>
      <c r="H10" s="72">
        <v>11710.19</v>
      </c>
      <c r="I10" s="47">
        <v>9351.13</v>
      </c>
      <c r="J10" s="47">
        <v>10221.31</v>
      </c>
      <c r="K10" s="47">
        <v>11234.26</v>
      </c>
      <c r="L10" s="47">
        <v>11885.05</v>
      </c>
      <c r="M10" s="7"/>
      <c r="N10" s="8"/>
      <c r="O10" s="8"/>
      <c r="P10" s="8">
        <v>24.83</v>
      </c>
      <c r="Q10" s="8">
        <v>19.92</v>
      </c>
      <c r="R10" s="8">
        <v>8.24</v>
      </c>
      <c r="S10" s="8">
        <v>21.72</v>
      </c>
      <c r="T10" s="8">
        <v>16.04</v>
      </c>
      <c r="U10" s="8">
        <v>4.02</v>
      </c>
      <c r="V10" s="8">
        <v>14.37</v>
      </c>
      <c r="W10" s="8">
        <v>11.97</v>
      </c>
      <c r="X10" s="16">
        <v>8.11</v>
      </c>
      <c r="Y10" s="61">
        <f aca="true" t="shared" si="4" ref="Y10:Y26">SUM(M10:X10)</f>
        <v>129.22</v>
      </c>
      <c r="Z10" s="83">
        <f>SUM(C10:X10)</f>
        <v>93685.49</v>
      </c>
    </row>
    <row r="11" spans="1:26" ht="15.75" customHeight="1" thickBot="1">
      <c r="A11" s="36" t="s">
        <v>30</v>
      </c>
      <c r="B11" s="31" t="s">
        <v>63</v>
      </c>
      <c r="C11" s="48">
        <v>4808.9</v>
      </c>
      <c r="D11" s="49">
        <v>13159.14</v>
      </c>
      <c r="E11" s="73">
        <v>4987.3</v>
      </c>
      <c r="F11" s="49">
        <v>93.12</v>
      </c>
      <c r="G11" s="49">
        <v>156.57</v>
      </c>
      <c r="H11" s="73">
        <v>900</v>
      </c>
      <c r="I11" s="49">
        <v>2073.97</v>
      </c>
      <c r="J11" s="49">
        <v>25.75</v>
      </c>
      <c r="K11" s="49">
        <v>410.8</v>
      </c>
      <c r="L11" s="49">
        <v>2304</v>
      </c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7"/>
      <c r="Y11" s="61">
        <f t="shared" si="4"/>
        <v>0</v>
      </c>
      <c r="Z11" s="83">
        <f>SUM(C11:X11)</f>
        <v>28919.55</v>
      </c>
    </row>
    <row r="12" spans="1:26" ht="15.75" customHeight="1" thickBot="1">
      <c r="A12" s="36" t="s">
        <v>31</v>
      </c>
      <c r="B12" s="29" t="s">
        <v>4</v>
      </c>
      <c r="C12" s="48">
        <v>0</v>
      </c>
      <c r="D12" s="49">
        <v>1127.74</v>
      </c>
      <c r="E12" s="73">
        <v>0</v>
      </c>
      <c r="F12" s="49">
        <v>0</v>
      </c>
      <c r="G12" s="49">
        <v>4012</v>
      </c>
      <c r="H12" s="73"/>
      <c r="I12" s="49">
        <v>0</v>
      </c>
      <c r="J12" s="49">
        <v>5087.9</v>
      </c>
      <c r="K12" s="49">
        <v>0</v>
      </c>
      <c r="L12" s="49">
        <v>7200.13</v>
      </c>
      <c r="M12" s="9"/>
      <c r="N12" s="10"/>
      <c r="O12" s="10"/>
      <c r="P12" s="10"/>
      <c r="Q12" s="10">
        <v>3677.3</v>
      </c>
      <c r="R12" s="10"/>
      <c r="S12" s="10"/>
      <c r="T12" s="10"/>
      <c r="U12" s="10"/>
      <c r="V12" s="10"/>
      <c r="W12" s="10"/>
      <c r="X12" s="17"/>
      <c r="Y12" s="61">
        <f t="shared" si="4"/>
        <v>3677.3</v>
      </c>
      <c r="Z12" s="83">
        <f aca="true" t="shared" si="5" ref="Z12:Z23">SUM(C12:X12)</f>
        <v>21105.07</v>
      </c>
    </row>
    <row r="13" spans="1:26" ht="15" customHeight="1" thickBot="1">
      <c r="A13" s="36" t="s">
        <v>32</v>
      </c>
      <c r="B13" s="29" t="s">
        <v>51</v>
      </c>
      <c r="C13" s="48">
        <v>0</v>
      </c>
      <c r="D13" s="49">
        <v>0</v>
      </c>
      <c r="E13" s="73">
        <v>601.7</v>
      </c>
      <c r="F13" s="49">
        <v>0</v>
      </c>
      <c r="G13" s="49">
        <v>0</v>
      </c>
      <c r="H13" s="73"/>
      <c r="I13" s="49">
        <v>600</v>
      </c>
      <c r="J13" s="49">
        <v>1300</v>
      </c>
      <c r="K13" s="49">
        <v>800</v>
      </c>
      <c r="L13" s="49">
        <v>1200</v>
      </c>
      <c r="M13" s="9"/>
      <c r="N13" s="10"/>
      <c r="O13" s="10"/>
      <c r="P13" s="10"/>
      <c r="Q13" s="10"/>
      <c r="R13" s="10"/>
      <c r="S13" s="10"/>
      <c r="T13" s="10">
        <v>900</v>
      </c>
      <c r="U13" s="10"/>
      <c r="V13" s="10"/>
      <c r="W13" s="10"/>
      <c r="X13" s="17"/>
      <c r="Y13" s="61">
        <f t="shared" si="4"/>
        <v>900</v>
      </c>
      <c r="Z13" s="83">
        <f t="shared" si="5"/>
        <v>5401.7</v>
      </c>
    </row>
    <row r="14" spans="1:26" ht="15" customHeight="1" thickBot="1">
      <c r="A14" s="36" t="s">
        <v>33</v>
      </c>
      <c r="B14" s="31" t="s">
        <v>60</v>
      </c>
      <c r="C14" s="48">
        <v>0</v>
      </c>
      <c r="D14" s="49">
        <v>4154.02</v>
      </c>
      <c r="E14" s="73">
        <v>25766.19</v>
      </c>
      <c r="F14" s="49">
        <v>3923.81</v>
      </c>
      <c r="G14" s="49">
        <v>5846.68</v>
      </c>
      <c r="H14" s="73">
        <v>6096.71</v>
      </c>
      <c r="I14" s="49">
        <v>3880.57</v>
      </c>
      <c r="J14" s="49">
        <v>786.1</v>
      </c>
      <c r="K14" s="49">
        <v>1702.22</v>
      </c>
      <c r="L14" s="49">
        <v>3445.79</v>
      </c>
      <c r="M14" s="9"/>
      <c r="N14" s="10"/>
      <c r="O14" s="10">
        <v>45</v>
      </c>
      <c r="P14" s="10">
        <v>250</v>
      </c>
      <c r="Q14" s="10"/>
      <c r="R14" s="10"/>
      <c r="S14" s="10"/>
      <c r="T14" s="10">
        <v>385</v>
      </c>
      <c r="U14" s="10"/>
      <c r="V14" s="10"/>
      <c r="W14" s="10"/>
      <c r="X14" s="17"/>
      <c r="Y14" s="61">
        <f t="shared" si="4"/>
        <v>680</v>
      </c>
      <c r="Z14" s="83">
        <f t="shared" si="5"/>
        <v>56282.09</v>
      </c>
    </row>
    <row r="15" spans="1:26" ht="24" customHeight="1" thickBot="1">
      <c r="A15" s="36" t="s">
        <v>34</v>
      </c>
      <c r="B15" s="31" t="s">
        <v>48</v>
      </c>
      <c r="C15" s="48">
        <v>0</v>
      </c>
      <c r="D15" s="49">
        <v>0</v>
      </c>
      <c r="E15" s="73">
        <v>1100</v>
      </c>
      <c r="F15" s="49">
        <v>256</v>
      </c>
      <c r="G15" s="49">
        <v>0</v>
      </c>
      <c r="H15" s="73">
        <v>8.24</v>
      </c>
      <c r="I15" s="49">
        <v>0</v>
      </c>
      <c r="J15" s="49">
        <v>186</v>
      </c>
      <c r="K15" s="49">
        <v>1939.55</v>
      </c>
      <c r="L15" s="49">
        <v>78</v>
      </c>
      <c r="M15" s="9">
        <v>37.16</v>
      </c>
      <c r="N15" s="10">
        <v>19</v>
      </c>
      <c r="O15" s="10"/>
      <c r="P15" s="10"/>
      <c r="Q15" s="10"/>
      <c r="R15" s="10"/>
      <c r="S15" s="10"/>
      <c r="T15" s="10"/>
      <c r="U15" s="10"/>
      <c r="V15" s="10"/>
      <c r="W15" s="10"/>
      <c r="X15" s="17"/>
      <c r="Y15" s="61">
        <f t="shared" si="4"/>
        <v>56.16</v>
      </c>
      <c r="Z15" s="83">
        <f t="shared" si="5"/>
        <v>3623.95</v>
      </c>
    </row>
    <row r="16" spans="1:26" ht="14.25" customHeight="1" thickBot="1">
      <c r="A16" s="36" t="s">
        <v>35</v>
      </c>
      <c r="B16" s="31" t="s">
        <v>70</v>
      </c>
      <c r="C16" s="48">
        <v>875.6</v>
      </c>
      <c r="D16" s="49">
        <v>2664.21</v>
      </c>
      <c r="E16" s="73">
        <v>2089.15</v>
      </c>
      <c r="F16" s="49">
        <v>1528.81</v>
      </c>
      <c r="G16" s="49">
        <v>0</v>
      </c>
      <c r="H16" s="73"/>
      <c r="I16" s="49">
        <v>0</v>
      </c>
      <c r="J16" s="49">
        <v>0</v>
      </c>
      <c r="K16" s="49">
        <v>4415.68</v>
      </c>
      <c r="L16" s="49">
        <v>2245.63</v>
      </c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7"/>
      <c r="Y16" s="61">
        <f t="shared" si="4"/>
        <v>0</v>
      </c>
      <c r="Z16" s="83">
        <f t="shared" si="5"/>
        <v>13819.080000000002</v>
      </c>
    </row>
    <row r="17" spans="1:26" ht="14.25" customHeight="1" thickBot="1">
      <c r="A17" s="36"/>
      <c r="B17" s="31" t="s">
        <v>71</v>
      </c>
      <c r="C17" s="48"/>
      <c r="D17" s="49"/>
      <c r="E17" s="73"/>
      <c r="F17" s="49"/>
      <c r="G17" s="49"/>
      <c r="H17" s="73"/>
      <c r="I17" s="49"/>
      <c r="J17" s="49"/>
      <c r="K17" s="49">
        <v>420.85</v>
      </c>
      <c r="L17" s="49">
        <v>530.58</v>
      </c>
      <c r="M17" s="9">
        <v>44.35</v>
      </c>
      <c r="N17" s="9">
        <v>44.35</v>
      </c>
      <c r="O17" s="9">
        <v>44.35</v>
      </c>
      <c r="P17" s="9">
        <v>44.35</v>
      </c>
      <c r="Q17" s="9">
        <v>44.35</v>
      </c>
      <c r="R17" s="9">
        <v>44.35</v>
      </c>
      <c r="S17" s="9">
        <v>44.35</v>
      </c>
      <c r="T17" s="10">
        <v>45.99</v>
      </c>
      <c r="U17" s="10">
        <v>45.17</v>
      </c>
      <c r="V17" s="10">
        <v>45.17</v>
      </c>
      <c r="W17" s="10">
        <v>45.17</v>
      </c>
      <c r="X17" s="10">
        <v>45.17</v>
      </c>
      <c r="Y17" s="61">
        <f>SUM(M17:X17)</f>
        <v>537.1200000000001</v>
      </c>
      <c r="Z17" s="83">
        <f>SUM(C17:X17)</f>
        <v>1488.55</v>
      </c>
    </row>
    <row r="18" spans="1:26" ht="14.25" customHeight="1" thickBot="1">
      <c r="A18" s="36"/>
      <c r="B18" s="31" t="s">
        <v>72</v>
      </c>
      <c r="C18" s="48"/>
      <c r="D18" s="49"/>
      <c r="E18" s="73"/>
      <c r="F18" s="49"/>
      <c r="G18" s="49"/>
      <c r="H18" s="73"/>
      <c r="I18" s="49"/>
      <c r="J18" s="49"/>
      <c r="K18" s="49">
        <v>271.59</v>
      </c>
      <c r="L18" s="49">
        <v>469.14</v>
      </c>
      <c r="M18" s="9">
        <v>39.26</v>
      </c>
      <c r="N18" s="9">
        <v>39.26</v>
      </c>
      <c r="O18" s="9">
        <v>39.26</v>
      </c>
      <c r="P18" s="9">
        <v>39.26</v>
      </c>
      <c r="Q18" s="9">
        <v>39.26</v>
      </c>
      <c r="R18" s="9">
        <v>39.26</v>
      </c>
      <c r="S18" s="9">
        <v>39.26</v>
      </c>
      <c r="T18" s="10">
        <v>43.69</v>
      </c>
      <c r="U18" s="10">
        <v>43.69</v>
      </c>
      <c r="V18" s="10">
        <v>43.69</v>
      </c>
      <c r="W18" s="10">
        <v>43.69</v>
      </c>
      <c r="X18" s="10">
        <v>43.69</v>
      </c>
      <c r="Y18" s="61">
        <f>SUM(M18:X18)</f>
        <v>493.27</v>
      </c>
      <c r="Z18" s="83">
        <f>SUM(C18:X18)</f>
        <v>1234.0000000000002</v>
      </c>
    </row>
    <row r="19" spans="1:26" ht="16.5" customHeight="1" thickBot="1">
      <c r="A19" s="36" t="s">
        <v>36</v>
      </c>
      <c r="B19" s="31" t="s">
        <v>5</v>
      </c>
      <c r="C19" s="48">
        <v>62.62</v>
      </c>
      <c r="D19" s="49">
        <v>884.03</v>
      </c>
      <c r="E19" s="73">
        <v>511.63</v>
      </c>
      <c r="F19" s="49">
        <v>412.83</v>
      </c>
      <c r="G19" s="49">
        <v>465.07</v>
      </c>
      <c r="H19" s="73"/>
      <c r="I19" s="49">
        <v>0</v>
      </c>
      <c r="J19" s="49">
        <v>0</v>
      </c>
      <c r="K19" s="49">
        <v>0</v>
      </c>
      <c r="L19" s="49">
        <v>0</v>
      </c>
      <c r="M19" s="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7"/>
      <c r="Y19" s="61">
        <f t="shared" si="4"/>
        <v>0</v>
      </c>
      <c r="Z19" s="83">
        <f t="shared" si="5"/>
        <v>2336.18</v>
      </c>
    </row>
    <row r="20" spans="1:26" ht="31.5" customHeight="1" thickBot="1">
      <c r="A20" s="36" t="s">
        <v>37</v>
      </c>
      <c r="B20" s="31" t="s">
        <v>73</v>
      </c>
      <c r="C20" s="48">
        <v>0</v>
      </c>
      <c r="D20" s="49">
        <v>655.15</v>
      </c>
      <c r="E20" s="73">
        <v>2332.59</v>
      </c>
      <c r="F20" s="49">
        <v>2925.49</v>
      </c>
      <c r="G20" s="49">
        <v>2885.48</v>
      </c>
      <c r="H20" s="73">
        <v>1954.4</v>
      </c>
      <c r="I20" s="49">
        <v>2304.47</v>
      </c>
      <c r="J20" s="49">
        <v>2436.91</v>
      </c>
      <c r="K20" s="49">
        <v>2475.81</v>
      </c>
      <c r="L20" s="49">
        <v>2601.75</v>
      </c>
      <c r="M20" s="9">
        <v>209.57</v>
      </c>
      <c r="N20" s="10">
        <v>219.68</v>
      </c>
      <c r="O20" s="10">
        <v>174.43</v>
      </c>
      <c r="P20" s="10">
        <v>208.9</v>
      </c>
      <c r="Q20" s="10">
        <v>173.78</v>
      </c>
      <c r="R20" s="10">
        <v>133.25</v>
      </c>
      <c r="S20" s="10">
        <v>139.27</v>
      </c>
      <c r="T20" s="10">
        <v>118.04</v>
      </c>
      <c r="U20" s="10">
        <v>132.73</v>
      </c>
      <c r="V20" s="10">
        <v>274.85</v>
      </c>
      <c r="W20" s="10">
        <v>173.79</v>
      </c>
      <c r="X20" s="17">
        <v>147.86</v>
      </c>
      <c r="Y20" s="61">
        <f t="shared" si="4"/>
        <v>2106.15</v>
      </c>
      <c r="Z20" s="83">
        <f t="shared" si="5"/>
        <v>22678.2</v>
      </c>
    </row>
    <row r="21" spans="1:26" ht="25.5" customHeight="1" thickBot="1">
      <c r="A21" s="36" t="s">
        <v>38</v>
      </c>
      <c r="B21" s="31" t="s">
        <v>64</v>
      </c>
      <c r="C21" s="48">
        <v>247.79</v>
      </c>
      <c r="D21" s="49">
        <v>1139.86</v>
      </c>
      <c r="E21" s="73">
        <v>1271.71</v>
      </c>
      <c r="F21" s="49">
        <v>379.2</v>
      </c>
      <c r="G21" s="49">
        <v>266.89</v>
      </c>
      <c r="H21" s="73">
        <v>587.51</v>
      </c>
      <c r="I21" s="49">
        <v>397.17</v>
      </c>
      <c r="J21" s="49">
        <v>346.68</v>
      </c>
      <c r="K21" s="49">
        <v>270.82</v>
      </c>
      <c r="L21" s="49">
        <v>262.45</v>
      </c>
      <c r="M21" s="9">
        <v>16.58</v>
      </c>
      <c r="N21" s="10">
        <v>14.3</v>
      </c>
      <c r="O21" s="10">
        <v>12.46</v>
      </c>
      <c r="P21" s="10">
        <v>14.5</v>
      </c>
      <c r="Q21" s="10">
        <v>1.53</v>
      </c>
      <c r="R21" s="10">
        <v>21.73</v>
      </c>
      <c r="S21" s="10">
        <v>24.37</v>
      </c>
      <c r="T21" s="10">
        <v>28.38</v>
      </c>
      <c r="U21" s="10">
        <v>42.18</v>
      </c>
      <c r="V21" s="10">
        <v>10.43</v>
      </c>
      <c r="W21" s="10">
        <v>38.5</v>
      </c>
      <c r="X21" s="17">
        <v>13.55</v>
      </c>
      <c r="Y21" s="61">
        <f t="shared" si="4"/>
        <v>238.51000000000005</v>
      </c>
      <c r="Z21" s="83">
        <f t="shared" si="5"/>
        <v>5408.589999999999</v>
      </c>
    </row>
    <row r="22" spans="1:26" ht="36" customHeight="1" thickBot="1">
      <c r="A22" s="36" t="s">
        <v>55</v>
      </c>
      <c r="B22" s="31" t="s">
        <v>65</v>
      </c>
      <c r="C22" s="48">
        <v>0</v>
      </c>
      <c r="D22" s="49">
        <v>350.91</v>
      </c>
      <c r="E22" s="73">
        <v>2020.4</v>
      </c>
      <c r="F22" s="49">
        <v>1967.41</v>
      </c>
      <c r="G22" s="49">
        <v>2617.93</v>
      </c>
      <c r="H22" s="73">
        <v>2248.5</v>
      </c>
      <c r="I22" s="49">
        <v>2930.4</v>
      </c>
      <c r="J22" s="49">
        <v>2535.79</v>
      </c>
      <c r="K22" s="49">
        <v>2587.72</v>
      </c>
      <c r="L22" s="49">
        <v>2925.84</v>
      </c>
      <c r="M22" s="9">
        <f>10.35+100.28+123.52</f>
        <v>234.14999999999998</v>
      </c>
      <c r="N22" s="10">
        <f>9.76+139.72+119.74</f>
        <v>269.21999999999997</v>
      </c>
      <c r="O22" s="10">
        <f>124.88+8.48+93.15</f>
        <v>226.51</v>
      </c>
      <c r="P22" s="10">
        <f>9.07+102.99+330.93</f>
        <v>442.99</v>
      </c>
      <c r="Q22" s="10">
        <f>8.86+113.72+89.69</f>
        <v>212.26999999999998</v>
      </c>
      <c r="R22" s="10">
        <f>10.29+79.15+158.81</f>
        <v>248.25</v>
      </c>
      <c r="S22" s="10">
        <f>9.9+134.06+72.33</f>
        <v>216.29000000000002</v>
      </c>
      <c r="T22" s="10">
        <f>9.07+82.41+115.3</f>
        <v>206.77999999999997</v>
      </c>
      <c r="U22" s="10">
        <f>6.6+73.29+104.98</f>
        <v>184.87</v>
      </c>
      <c r="V22" s="10">
        <f>6.69+117.4+298.31</f>
        <v>422.4</v>
      </c>
      <c r="W22" s="10">
        <f>7.39+73.62+76.83</f>
        <v>157.84</v>
      </c>
      <c r="X22" s="17">
        <f>7.38+223.26+128.96</f>
        <v>359.6</v>
      </c>
      <c r="Y22" s="61">
        <f t="shared" si="4"/>
        <v>3181.17</v>
      </c>
      <c r="Z22" s="83">
        <f t="shared" si="5"/>
        <v>23366.070000000003</v>
      </c>
    </row>
    <row r="23" spans="1:26" ht="15.75" customHeight="1" thickBot="1">
      <c r="A23" s="36" t="s">
        <v>56</v>
      </c>
      <c r="B23" s="31" t="s">
        <v>8</v>
      </c>
      <c r="C23" s="48">
        <v>237.56</v>
      </c>
      <c r="D23" s="49">
        <v>10956.19</v>
      </c>
      <c r="E23" s="73">
        <v>19730.61</v>
      </c>
      <c r="F23" s="49">
        <v>24745.3</v>
      </c>
      <c r="G23" s="49">
        <v>25865.09</v>
      </c>
      <c r="H23" s="73">
        <v>26812.27</v>
      </c>
      <c r="I23" s="49">
        <v>21674.22</v>
      </c>
      <c r="J23" s="49">
        <v>21595.31</v>
      </c>
      <c r="K23" s="49">
        <v>23489.44</v>
      </c>
      <c r="L23" s="49">
        <v>22886.06</v>
      </c>
      <c r="M23" s="9">
        <f>3571.48-738.2</f>
        <v>2833.2799999999997</v>
      </c>
      <c r="N23" s="10">
        <f>3439.18-787.96</f>
        <v>2651.22</v>
      </c>
      <c r="O23" s="10">
        <f>3327.59-659.89</f>
        <v>2667.7000000000003</v>
      </c>
      <c r="P23" s="10">
        <f>3857.2-1177.11</f>
        <v>2680.09</v>
      </c>
      <c r="Q23" s="10">
        <f>7151.17-4338.88</f>
        <v>2812.29</v>
      </c>
      <c r="R23" s="10">
        <f>2404.65-654.14</f>
        <v>1750.5100000000002</v>
      </c>
      <c r="S23" s="10">
        <f>3480.62-620.33</f>
        <v>2860.29</v>
      </c>
      <c r="T23" s="10">
        <f>4653.5-1902.76</f>
        <v>2750.74</v>
      </c>
      <c r="U23" s="10">
        <f>2311.34-640.98</f>
        <v>1670.3600000000001</v>
      </c>
      <c r="V23" s="10">
        <f>2815.6-972.29</f>
        <v>1843.31</v>
      </c>
      <c r="W23" s="10">
        <f>3495.13-642.52</f>
        <v>2852.61</v>
      </c>
      <c r="X23" s="17">
        <f>3596.23-769.04</f>
        <v>2827.19</v>
      </c>
      <c r="Y23" s="61">
        <f t="shared" si="4"/>
        <v>30199.590000000004</v>
      </c>
      <c r="Z23" s="83">
        <f t="shared" si="5"/>
        <v>228191.64</v>
      </c>
    </row>
    <row r="24" spans="1:26" ht="13.5" customHeight="1" thickBot="1">
      <c r="A24" s="36" t="s">
        <v>57</v>
      </c>
      <c r="B24" s="32" t="s">
        <v>3</v>
      </c>
      <c r="C24" s="50">
        <v>135.77</v>
      </c>
      <c r="D24" s="51">
        <v>1895.63</v>
      </c>
      <c r="E24" s="74">
        <v>3224.59</v>
      </c>
      <c r="F24" s="51">
        <v>2183.47</v>
      </c>
      <c r="G24" s="51">
        <v>2662.32</v>
      </c>
      <c r="H24" s="74">
        <v>1842.91</v>
      </c>
      <c r="I24" s="51">
        <v>2378.73</v>
      </c>
      <c r="J24" s="51">
        <v>2075.81</v>
      </c>
      <c r="K24" s="51">
        <v>2060.81</v>
      </c>
      <c r="L24" s="51">
        <v>2228.93</v>
      </c>
      <c r="M24" s="11">
        <f>2.92+154.21</f>
        <v>157.13</v>
      </c>
      <c r="N24" s="12">
        <f>1.5+180.65</f>
        <v>182.15</v>
      </c>
      <c r="O24" s="12">
        <f>2.34+115.54</f>
        <v>117.88000000000001</v>
      </c>
      <c r="P24" s="12">
        <f>3.03+149.25</f>
        <v>152.28</v>
      </c>
      <c r="Q24" s="12">
        <f>3.39+167.08</f>
        <v>170.47</v>
      </c>
      <c r="R24" s="12">
        <f>3.16+155.9</f>
        <v>159.06</v>
      </c>
      <c r="S24" s="12">
        <f>2.68+132.39</f>
        <v>135.07</v>
      </c>
      <c r="T24" s="12">
        <f>3.32+155.52</f>
        <v>158.84</v>
      </c>
      <c r="U24" s="12">
        <f>3.93+184.39</f>
        <v>188.32</v>
      </c>
      <c r="V24" s="12">
        <f>3.4+157.98</f>
        <v>161.38</v>
      </c>
      <c r="W24" s="12">
        <f>3.62+167.94</f>
        <v>171.56</v>
      </c>
      <c r="X24" s="19">
        <f>3.19+147.87</f>
        <v>151.06</v>
      </c>
      <c r="Y24" s="61">
        <f t="shared" si="4"/>
        <v>1905.1999999999998</v>
      </c>
      <c r="Z24" s="83">
        <f>SUM(C24:X24)</f>
        <v>22594.17000000001</v>
      </c>
    </row>
    <row r="25" spans="1:26" ht="17.25" customHeight="1" thickBot="1">
      <c r="A25" s="36"/>
      <c r="B25" s="43" t="s">
        <v>61</v>
      </c>
      <c r="C25" s="76"/>
      <c r="D25" s="77"/>
      <c r="E25" s="78"/>
      <c r="F25" s="77"/>
      <c r="G25" s="77"/>
      <c r="H25" s="86">
        <f>H7*5%</f>
        <v>2644.08</v>
      </c>
      <c r="I25" s="87">
        <f>I7*5%</f>
        <v>2646.84</v>
      </c>
      <c r="J25" s="87">
        <f>J7*5%</f>
        <v>2646.84</v>
      </c>
      <c r="K25" s="87">
        <f>K7*5%</f>
        <v>2646.84</v>
      </c>
      <c r="L25" s="87">
        <f>L7*5%</f>
        <v>2646.84</v>
      </c>
      <c r="M25" s="79">
        <f>(M7+M8)*5%</f>
        <v>210.36599999999999</v>
      </c>
      <c r="N25" s="79">
        <f aca="true" t="shared" si="6" ref="N25:X25">(N7+N8)*5%</f>
        <v>210.36599999999999</v>
      </c>
      <c r="O25" s="79">
        <f t="shared" si="6"/>
        <v>210.36599999999999</v>
      </c>
      <c r="P25" s="79">
        <f t="shared" si="6"/>
        <v>210.36599999999999</v>
      </c>
      <c r="Q25" s="79">
        <f t="shared" si="6"/>
        <v>210.36599999999999</v>
      </c>
      <c r="R25" s="79">
        <f t="shared" si="6"/>
        <v>210.36599999999999</v>
      </c>
      <c r="S25" s="79">
        <f t="shared" si="6"/>
        <v>210.628</v>
      </c>
      <c r="T25" s="79">
        <f t="shared" si="6"/>
        <v>210.628</v>
      </c>
      <c r="U25" s="79">
        <f t="shared" si="6"/>
        <v>210.628</v>
      </c>
      <c r="V25" s="79">
        <f t="shared" si="6"/>
        <v>210.628</v>
      </c>
      <c r="W25" s="79">
        <f t="shared" si="6"/>
        <v>210.628</v>
      </c>
      <c r="X25" s="79">
        <f t="shared" si="6"/>
        <v>210.628</v>
      </c>
      <c r="Y25" s="87">
        <f t="shared" si="4"/>
        <v>2525.964</v>
      </c>
      <c r="Z25" s="84"/>
    </row>
    <row r="26" spans="1:26" ht="17.25" customHeight="1" thickBot="1">
      <c r="A26" s="36" t="s">
        <v>39</v>
      </c>
      <c r="B26" s="65" t="s">
        <v>53</v>
      </c>
      <c r="C26" s="66"/>
      <c r="D26" s="67"/>
      <c r="E26" s="75"/>
      <c r="F26" s="67"/>
      <c r="G26" s="67"/>
      <c r="H26" s="75"/>
      <c r="I26" s="67"/>
      <c r="J26" s="67"/>
      <c r="K26" s="89">
        <f aca="true" t="shared" si="7" ref="K26:X26">SUM(K7+K8-K9)-K25</f>
        <v>3318.5400000000045</v>
      </c>
      <c r="L26" s="89">
        <f>SUM(L7+L8-L9)-L25</f>
        <v>-6727.979999999992</v>
      </c>
      <c r="M26" s="80">
        <f t="shared" si="7"/>
        <v>425.47400000000016</v>
      </c>
      <c r="N26" s="80">
        <f t="shared" si="7"/>
        <v>557.7739999999999</v>
      </c>
      <c r="O26" s="80">
        <f t="shared" si="7"/>
        <v>669.3639999999996</v>
      </c>
      <c r="P26" s="80">
        <f t="shared" si="7"/>
        <v>139.75399999999945</v>
      </c>
      <c r="Q26" s="80">
        <f t="shared" si="7"/>
        <v>-3154.2160000000013</v>
      </c>
      <c r="R26" s="80">
        <f t="shared" si="7"/>
        <v>1592.3039999999996</v>
      </c>
      <c r="S26" s="80">
        <f t="shared" si="7"/>
        <v>521.3119999999992</v>
      </c>
      <c r="T26" s="80">
        <f t="shared" si="7"/>
        <v>-651.5680000000004</v>
      </c>
      <c r="U26" s="80">
        <f t="shared" si="7"/>
        <v>1690.5919999999994</v>
      </c>
      <c r="V26" s="80">
        <f t="shared" si="7"/>
        <v>1186.3319999999992</v>
      </c>
      <c r="W26" s="80">
        <f t="shared" si="7"/>
        <v>506.8019999999994</v>
      </c>
      <c r="X26" s="80">
        <f t="shared" si="7"/>
        <v>405.7019999999995</v>
      </c>
      <c r="Y26" s="87">
        <f t="shared" si="4"/>
        <v>3889.6259999999934</v>
      </c>
      <c r="Z26" s="68"/>
    </row>
    <row r="27" spans="1:26" ht="21.75" customHeight="1" thickBot="1">
      <c r="A27" s="90" t="s">
        <v>40</v>
      </c>
      <c r="B27" s="98" t="s">
        <v>22</v>
      </c>
      <c r="C27" s="99">
        <v>4810.52</v>
      </c>
      <c r="D27" s="100">
        <v>8286.53</v>
      </c>
      <c r="E27" s="101">
        <f>SUM(E7-E9)</f>
        <v>-19412.769999999997</v>
      </c>
      <c r="F27" s="102">
        <f>SUM(F7-F9)</f>
        <v>4560.809999999998</v>
      </c>
      <c r="G27" s="102">
        <f>SUM(G7-G9)</f>
        <v>-3004.179999999993</v>
      </c>
      <c r="H27" s="103">
        <f>SUM(H7-H9)-H25</f>
        <v>-1923.2100000000119</v>
      </c>
      <c r="I27" s="104">
        <f>SUM(I7-I9)-I25</f>
        <v>4699.299999999999</v>
      </c>
      <c r="J27" s="105">
        <f>SUM(J7-J9)-J25</f>
        <v>3692.400000000005</v>
      </c>
      <c r="K27" s="105">
        <f>SUM(K7+K8-K9)-K25</f>
        <v>3318.5400000000045</v>
      </c>
      <c r="L27" s="105">
        <f>SUM(L7+L8-L9)-L25</f>
        <v>-6727.979999999992</v>
      </c>
      <c r="M27" s="106">
        <f>SUM(M7+M8-M9)-M25</f>
        <v>425.47400000000016</v>
      </c>
      <c r="N27" s="107">
        <f>SUM(N26+M27)</f>
        <v>983.248</v>
      </c>
      <c r="O27" s="107">
        <f aca="true" t="shared" si="8" ref="O27:X27">SUM(O26+N27)</f>
        <v>1652.6119999999996</v>
      </c>
      <c r="P27" s="107">
        <f t="shared" si="8"/>
        <v>1792.365999999999</v>
      </c>
      <c r="Q27" s="107">
        <f t="shared" si="8"/>
        <v>-1361.8500000000022</v>
      </c>
      <c r="R27" s="107">
        <f t="shared" si="8"/>
        <v>230.45399999999745</v>
      </c>
      <c r="S27" s="107">
        <f t="shared" si="8"/>
        <v>751.7659999999967</v>
      </c>
      <c r="T27" s="107">
        <f t="shared" si="8"/>
        <v>100.19799999999623</v>
      </c>
      <c r="U27" s="107">
        <f t="shared" si="8"/>
        <v>1790.7899999999956</v>
      </c>
      <c r="V27" s="107">
        <f t="shared" si="8"/>
        <v>2977.121999999995</v>
      </c>
      <c r="W27" s="107">
        <f t="shared" si="8"/>
        <v>3483.923999999994</v>
      </c>
      <c r="X27" s="107">
        <f t="shared" si="8"/>
        <v>3889.6259999999934</v>
      </c>
      <c r="Y27" s="102"/>
      <c r="Z27" s="108"/>
    </row>
    <row r="28" spans="1:26" ht="21.75" customHeight="1" thickBot="1">
      <c r="A28" s="36" t="s">
        <v>41</v>
      </c>
      <c r="B28" s="52" t="s">
        <v>23</v>
      </c>
      <c r="C28" s="39">
        <v>4810.52</v>
      </c>
      <c r="D28" s="43">
        <v>13097.05</v>
      </c>
      <c r="E28" s="18">
        <f>SUM(E7-E9,D28)</f>
        <v>-6315.7199999999975</v>
      </c>
      <c r="F28" s="61">
        <f>SUM(F7-F9,E28)</f>
        <v>-1754.9099999999999</v>
      </c>
      <c r="G28" s="61">
        <f>SUM(G7-G9,F28)</f>
        <v>-4759.089999999993</v>
      </c>
      <c r="H28" s="86">
        <f aca="true" t="shared" si="9" ref="H28:M28">SUM(H27+G28)</f>
        <v>-6682.300000000005</v>
      </c>
      <c r="I28" s="87">
        <f t="shared" si="9"/>
        <v>-1983.0000000000055</v>
      </c>
      <c r="J28" s="87">
        <f t="shared" si="9"/>
        <v>1709.3999999999996</v>
      </c>
      <c r="K28" s="87">
        <f t="shared" si="9"/>
        <v>5027.940000000004</v>
      </c>
      <c r="L28" s="87">
        <f t="shared" si="9"/>
        <v>-1700.0399999999881</v>
      </c>
      <c r="M28" s="87">
        <f t="shared" si="9"/>
        <v>-1274.565999999988</v>
      </c>
      <c r="N28" s="81">
        <f>SUM(N26+M28)</f>
        <v>-716.7919999999881</v>
      </c>
      <c r="O28" s="81">
        <f aca="true" t="shared" si="10" ref="O28:X28">SUM(O26+N28)</f>
        <v>-47.427999999988515</v>
      </c>
      <c r="P28" s="81">
        <f t="shared" si="10"/>
        <v>92.32600000001094</v>
      </c>
      <c r="Q28" s="81">
        <f t="shared" si="10"/>
        <v>-3061.8899999999903</v>
      </c>
      <c r="R28" s="81">
        <f t="shared" si="10"/>
        <v>-1469.5859999999907</v>
      </c>
      <c r="S28" s="81">
        <f t="shared" si="10"/>
        <v>-948.2739999999915</v>
      </c>
      <c r="T28" s="81">
        <f t="shared" si="10"/>
        <v>-1599.841999999992</v>
      </c>
      <c r="U28" s="81">
        <f t="shared" si="10"/>
        <v>90.7500000000075</v>
      </c>
      <c r="V28" s="81">
        <f t="shared" si="10"/>
        <v>1277.0820000000067</v>
      </c>
      <c r="W28" s="81">
        <f t="shared" si="10"/>
        <v>1783.8840000000062</v>
      </c>
      <c r="X28" s="81">
        <f t="shared" si="10"/>
        <v>2189.5860000000057</v>
      </c>
      <c r="Y28" s="61"/>
      <c r="Z28" s="55"/>
    </row>
    <row r="29" spans="1:26" ht="9" customHeight="1" hidden="1" thickBot="1">
      <c r="A29" s="37" t="s">
        <v>42</v>
      </c>
      <c r="B29" s="52" t="s">
        <v>7</v>
      </c>
      <c r="C29" s="40"/>
      <c r="D29" s="44"/>
      <c r="E29" s="44"/>
      <c r="F29" s="40"/>
      <c r="G29" s="40"/>
      <c r="H29" s="40"/>
      <c r="I29" s="40"/>
      <c r="J29" s="40"/>
      <c r="K29" s="40"/>
      <c r="L29" s="40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"/>
      <c r="Y29" s="61"/>
      <c r="Z29" s="56"/>
    </row>
    <row r="30" spans="1:26" ht="15" customHeight="1" hidden="1" thickBot="1">
      <c r="A30" s="37" t="s">
        <v>45</v>
      </c>
      <c r="B30" s="33" t="s">
        <v>24</v>
      </c>
      <c r="C30" s="40"/>
      <c r="D30" s="44"/>
      <c r="E30" s="44"/>
      <c r="F30" s="40"/>
      <c r="G30" s="40"/>
      <c r="H30" s="40"/>
      <c r="I30" s="40"/>
      <c r="J30" s="40"/>
      <c r="K30" s="40"/>
      <c r="L30" s="40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0"/>
      <c r="Y30" s="62"/>
      <c r="Z30" s="57"/>
    </row>
    <row r="31" spans="1:26" ht="24" customHeight="1" hidden="1" thickBot="1">
      <c r="A31" s="53" t="s">
        <v>49</v>
      </c>
      <c r="B31" s="34" t="s">
        <v>46</v>
      </c>
      <c r="C31" s="41"/>
      <c r="D31" s="45"/>
      <c r="E31" s="45"/>
      <c r="F31" s="41"/>
      <c r="G31" s="41"/>
      <c r="H31" s="41"/>
      <c r="I31" s="41"/>
      <c r="J31" s="41"/>
      <c r="K31" s="41"/>
      <c r="L31" s="41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5">
        <f>SUM(X27-X29)</f>
        <v>3889.6259999999934</v>
      </c>
      <c r="Y31" s="63"/>
      <c r="Z31" s="58"/>
    </row>
    <row r="32" spans="1:26" ht="24" customHeight="1" hidden="1" thickBot="1">
      <c r="A32" s="64" t="s">
        <v>52</v>
      </c>
      <c r="B32" s="34" t="s">
        <v>25</v>
      </c>
      <c r="C32" s="41"/>
      <c r="D32" s="45"/>
      <c r="E32" s="45"/>
      <c r="F32" s="41"/>
      <c r="G32" s="41"/>
      <c r="H32" s="41"/>
      <c r="I32" s="41"/>
      <c r="J32" s="41"/>
      <c r="K32" s="41"/>
      <c r="L32" s="41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5">
        <f>SUM(X28-X29)</f>
        <v>2189.5860000000057</v>
      </c>
      <c r="Y32" s="63"/>
      <c r="Z32" s="58"/>
    </row>
    <row r="33" spans="3:26" ht="3" customHeight="1" hidden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/>
    </row>
    <row r="34" ht="12.75" hidden="1"/>
    <row r="35" ht="12.75" hidden="1"/>
    <row r="36" ht="12.75" hidden="1"/>
    <row r="37" ht="12.75">
      <c r="B37" t="s">
        <v>66</v>
      </c>
    </row>
    <row r="41" ht="12.75" customHeight="1"/>
    <row r="42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2020-02-20T11:43:20Z</cp:lastPrinted>
  <dcterms:created xsi:type="dcterms:W3CDTF">2011-06-16T11:06:26Z</dcterms:created>
  <dcterms:modified xsi:type="dcterms:W3CDTF">2020-02-20T11:44:21Z</dcterms:modified>
  <cp:category/>
  <cp:version/>
  <cp:contentType/>
  <cp:contentStatus/>
</cp:coreProperties>
</file>