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<sst xmlns="http://schemas.openxmlformats.org/spreadsheetml/2006/main" count="76" uniqueCount="76">
  <si>
    <t>СПРАВКА</t>
  </si>
  <si>
    <t xml:space="preserve">Начислено  </t>
  </si>
  <si>
    <t>Расходы</t>
  </si>
  <si>
    <t>Услуги РИРЦ</t>
  </si>
  <si>
    <t>Тех.обслуж.газового обор.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</si>
  <si>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</si>
  <si>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</si>
  <si>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</si>
  <si>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</si>
  <si>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</si>
  <si>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</si>
  <si>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</si>
  <si>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</si>
  <si>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</si>
  <si>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</si>
  <si>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</si>
  <si>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</si>
  <si>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</si>
  <si>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</si>
  <si>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</si>
  <si>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</si>
  <si>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</si>
  <si>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</si>
  <si>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</si>
  <si>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</si>
  <si>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</si>
  <si>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</si>
  <si>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</si>
  <si>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</si>
  <si>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</si>
  <si>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4.3</t>
  </si>
  <si>
    <t>4.5</t>
  </si>
  <si>
    <t>4.7</t>
  </si>
  <si>
    <t>4.11</t>
  </si>
  <si>
    <t>6</t>
  </si>
  <si>
    <t>7</t>
  </si>
  <si>
    <t>8</t>
  </si>
  <si>
    <t>9</t>
  </si>
  <si>
    <t>10</t>
  </si>
  <si>
    <t>Финансовый результат по дому с начала года</t>
  </si>
  <si>
    <t>Благоустройство  территории</t>
  </si>
  <si>
    <t>11</t>
  </si>
  <si>
    <t>Результат за месяц</t>
  </si>
  <si>
    <t>4,12</t>
  </si>
  <si>
    <t>4.13</t>
  </si>
  <si>
    <t xml:space="preserve">Материалы </t>
  </si>
  <si>
    <t>4.14</t>
  </si>
  <si>
    <t>5</t>
  </si>
  <si>
    <t>4.15</t>
  </si>
  <si>
    <t>рентабельность 5%</t>
  </si>
  <si>
    <t>Итого за 2015</t>
  </si>
  <si>
    <t>Услуги сторонних орган.</t>
  </si>
  <si>
    <t>по жилому дому г. Унеча ул. Луначарского  д.42</t>
  </si>
  <si>
    <t>4.4</t>
  </si>
  <si>
    <t>Проверка вент.каналов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</si>
  <si>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</si>
  <si>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</si>
  <si>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Исполнитель  вед. экономист /Викторова Л.С/</t>
  </si>
  <si>
    <t>8074,07</t>
  </si>
  <si>
    <t>Итого за 2016</t>
  </si>
  <si>
    <t>11281,45</t>
  </si>
  <si>
    <t>Начислено  СОИД</t>
  </si>
  <si>
    <t>4.6</t>
  </si>
  <si>
    <t>Электроэнергия СОИД</t>
  </si>
  <si>
    <t>Холодная вода СОИД</t>
  </si>
  <si>
    <t>Канализация СОИД</t>
  </si>
  <si>
    <t>Транспортные(ГСМ,зап.части,амортизация,страхование)</t>
  </si>
  <si>
    <t>Итого за 2017</t>
  </si>
  <si>
    <t>Итого за 2018</t>
  </si>
  <si>
    <t>11417,43</t>
  </si>
  <si>
    <t>11511,96</t>
  </si>
  <si>
    <t>Итого за 2019</t>
  </si>
  <si>
    <t>Всего за 2015-2019</t>
  </si>
  <si>
    <t>Вывоз ТБО (Утилизация)</t>
  </si>
  <si>
    <t>Дом по ул.Луначарского д. 42 вступил в ООО "Наш дом" с мая 2015 года     тариф 11,5  руб с января 2019 года тариф 10,7 руб.</t>
  </si>
  <si>
    <t>ООО "НД УНЕЧА"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</si>
</sst>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9"/>
      <color indexed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98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5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6" xfId="0" applyFont="1" applyBorder="1" applyAlignment="1">
      <alignment horizontal="left" vertical="center" wrapText="1"/>
    </xf>
    <xf numFmtId="0" fontId="24" fillId="0" borderId="27" xfId="0" applyFont="1" applyBorder="1" applyAlignment="1">
      <alignment wrapText="1"/>
    </xf>
    <xf numFmtId="0" fontId="21" fillId="0" borderId="28" xfId="0" applyFont="1" applyBorder="1" applyAlignment="1">
      <alignment horizontal="left" wrapText="1"/>
    </xf>
    <xf numFmtId="49" fontId="21" fillId="0" borderId="27" xfId="0" applyNumberFormat="1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2" borderId="30" xfId="0" applyFont="1" applyFill="1" applyBorder="1" applyAlignment="1">
      <alignment wrapText="1"/>
    </xf>
    <xf numFmtId="49" fontId="0" fillId="0" borderId="31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0" fontId="21" fillId="0" borderId="34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49" fontId="0" fillId="0" borderId="35" xfId="0" applyNumberFormat="1" applyBorder="1" applyAlignment="1">
      <alignment horizontal="center"/>
    </xf>
    <xf numFmtId="0" fontId="23" fillId="0" borderId="26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26" xfId="0" applyBorder="1" applyAlignment="1">
      <alignment/>
    </xf>
    <xf numFmtId="0" fontId="0" fillId="2" borderId="26" xfId="0" applyFill="1" applyBorder="1" applyAlignment="1">
      <alignment/>
    </xf>
    <xf numFmtId="0" fontId="19" fillId="0" borderId="34" xfId="0" applyFont="1" applyBorder="1" applyAlignment="1">
      <alignment horizontal="center" vertical="center" wrapText="1"/>
    </xf>
    <xf numFmtId="0" fontId="21" fillId="0" borderId="34" xfId="0" applyFont="1" applyBorder="1" applyAlignment="1">
      <alignment/>
    </xf>
    <xf numFmtId="0" fontId="21" fillId="0" borderId="35" xfId="0" applyFont="1" applyBorder="1" applyAlignment="1">
      <alignment/>
    </xf>
    <xf numFmtId="0" fontId="20" fillId="2" borderId="35" xfId="0" applyFont="1" applyFill="1" applyBorder="1" applyAlignment="1">
      <alignment/>
    </xf>
    <xf numFmtId="0" fontId="21" fillId="0" borderId="31" xfId="0" applyFont="1" applyBorder="1" applyAlignment="1">
      <alignment/>
    </xf>
    <xf numFmtId="0" fontId="21" fillId="0" borderId="36" xfId="0" applyFont="1" applyBorder="1" applyAlignment="1">
      <alignment wrapText="1"/>
    </xf>
    <xf numFmtId="2" fontId="20" fillId="0" borderId="37" xfId="0" applyNumberFormat="1" applyFont="1" applyBorder="1" applyAlignment="1">
      <alignment/>
    </xf>
    <xf numFmtId="0" fontId="20" fillId="0" borderId="26" xfId="0" applyFont="1" applyBorder="1" applyAlignment="1">
      <alignment/>
    </xf>
    <xf numFmtId="2" fontId="21" fillId="0" borderId="26" xfId="0" applyNumberFormat="1" applyFont="1" applyBorder="1" applyAlignment="1">
      <alignment/>
    </xf>
    <xf numFmtId="2" fontId="21" fillId="0" borderId="34" xfId="0" applyNumberFormat="1" applyFont="1" applyBorder="1" applyAlignment="1">
      <alignment/>
    </xf>
    <xf numFmtId="2" fontId="21" fillId="0" borderId="38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0" fontId="21" fillId="0" borderId="25" xfId="0" applyFont="1" applyBorder="1" applyAlignment="1">
      <alignment wrapText="1"/>
    </xf>
    <xf numFmtId="0" fontId="21" fillId="2" borderId="25" xfId="0" applyFont="1" applyFill="1" applyBorder="1" applyAlignment="1">
      <alignment wrapText="1"/>
    </xf>
    <xf numFmtId="0" fontId="21" fillId="0" borderId="32" xfId="0" applyFont="1" applyBorder="1" applyAlignment="1">
      <alignment wrapText="1"/>
    </xf>
    <xf numFmtId="0" fontId="21" fillId="0" borderId="33" xfId="0" applyFont="1" applyBorder="1" applyAlignment="1">
      <alignment wrapText="1"/>
    </xf>
    <xf numFmtId="49" fontId="21" fillId="0" borderId="39" xfId="0" applyNumberFormat="1" applyFont="1" applyBorder="1" applyAlignment="1">
      <alignment horizontal="right" wrapText="1"/>
    </xf>
    <xf numFmtId="0" fontId="21" fillId="0" borderId="32" xfId="0" applyFont="1" applyBorder="1" applyAlignment="1">
      <alignment horizontal="right" wrapText="1"/>
    </xf>
    <xf numFmtId="0" fontId="25" fillId="0" borderId="31" xfId="0" applyFont="1" applyBorder="1" applyAlignment="1">
      <alignment/>
    </xf>
    <xf numFmtId="2" fontId="25" fillId="0" borderId="37" xfId="0" applyNumberFormat="1" applyFont="1" applyBorder="1" applyAlignment="1">
      <alignment/>
    </xf>
    <xf numFmtId="0" fontId="24" fillId="0" borderId="40" xfId="0" applyFont="1" applyBorder="1" applyAlignment="1">
      <alignment wrapText="1"/>
    </xf>
    <xf numFmtId="49" fontId="21" fillId="0" borderId="41" xfId="0" applyNumberFormat="1" applyFont="1" applyBorder="1" applyAlignment="1">
      <alignment horizontal="right" wrapText="1"/>
    </xf>
    <xf numFmtId="0" fontId="21" fillId="0" borderId="42" xfId="0" applyFont="1" applyBorder="1" applyAlignment="1">
      <alignment horizontal="right" wrapText="1"/>
    </xf>
    <xf numFmtId="0" fontId="21" fillId="0" borderId="42" xfId="0" applyFont="1" applyBorder="1" applyAlignment="1">
      <alignment wrapText="1"/>
    </xf>
    <xf numFmtId="0" fontId="21" fillId="0" borderId="43" xfId="0" applyFont="1" applyBorder="1" applyAlignment="1">
      <alignment wrapText="1"/>
    </xf>
    <xf numFmtId="2" fontId="21" fillId="0" borderId="44" xfId="0" applyNumberFormat="1" applyFont="1" applyBorder="1" applyAlignment="1">
      <alignment/>
    </xf>
    <xf numFmtId="0" fontId="21" fillId="0" borderId="45" xfId="0" applyFont="1" applyBorder="1" applyAlignment="1">
      <alignment wrapText="1"/>
    </xf>
    <xf numFmtId="2" fontId="21" fillId="0" borderId="20" xfId="0" applyNumberFormat="1" applyFont="1" applyBorder="1" applyAlignment="1">
      <alignment/>
    </xf>
    <xf numFmtId="0" fontId="26" fillId="0" borderId="31" xfId="0" applyFont="1" applyBorder="1" applyAlignment="1">
      <alignment wrapText="1"/>
    </xf>
    <xf numFmtId="0" fontId="24" fillId="0" borderId="41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0" fontId="26" fillId="0" borderId="40" xfId="0" applyFont="1" applyBorder="1" applyAlignment="1">
      <alignment wrapText="1"/>
    </xf>
    <xf numFmtId="0" fontId="26" fillId="0" borderId="41" xfId="0" applyFont="1" applyBorder="1" applyAlignment="1">
      <alignment wrapText="1"/>
    </xf>
    <xf numFmtId="2" fontId="21" fillId="0" borderId="46" xfId="0" applyNumberFormat="1" applyFont="1" applyBorder="1" applyAlignment="1">
      <alignment/>
    </xf>
    <xf numFmtId="2" fontId="21" fillId="0" borderId="47" xfId="0" applyNumberFormat="1" applyFont="1" applyBorder="1" applyAlignment="1">
      <alignment/>
    </xf>
    <xf numFmtId="49" fontId="22" fillId="0" borderId="32" xfId="0" applyNumberFormat="1" applyFont="1" applyBorder="1" applyAlignment="1">
      <alignment horizontal="center"/>
    </xf>
    <xf numFmtId="0" fontId="19" fillId="0" borderId="26" xfId="0" applyFont="1" applyBorder="1" applyAlignment="1">
      <alignment wrapText="1"/>
    </xf>
    <xf numFmtId="0" fontId="27" fillId="0" borderId="46" xfId="0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44" xfId="0" applyFont="1" applyBorder="1" applyAlignment="1">
      <alignment/>
    </xf>
    <xf numFmtId="0" fontId="28" fillId="0" borderId="31" xfId="0" applyFont="1" applyBorder="1" applyAlignment="1">
      <alignment/>
    </xf>
    <xf numFmtId="0" fontId="22" fillId="0" borderId="0" xfId="0" applyFont="1" applyAlignment="1">
      <alignment/>
    </xf>
    <xf numFmtId="0" fontId="27" fillId="0" borderId="37" xfId="0" applyFont="1" applyBorder="1" applyAlignment="1">
      <alignment wrapText="1"/>
    </xf>
    <xf numFmtId="2" fontId="27" fillId="0" borderId="48" xfId="0" applyNumberFormat="1" applyFont="1" applyBorder="1" applyAlignment="1">
      <alignment/>
    </xf>
    <xf numFmtId="2" fontId="27" fillId="0" borderId="49" xfId="0" applyNumberFormat="1" applyFont="1" applyBorder="1" applyAlignment="1">
      <alignment/>
    </xf>
    <xf numFmtId="2" fontId="27" fillId="0" borderId="50" xfId="0" applyNumberFormat="1" applyFont="1" applyBorder="1" applyAlignment="1">
      <alignment/>
    </xf>
    <xf numFmtId="2" fontId="27" fillId="0" borderId="51" xfId="0" applyNumberFormat="1" applyFont="1" applyBorder="1" applyAlignment="1">
      <alignment/>
    </xf>
    <xf numFmtId="2" fontId="27" fillId="0" borderId="52" xfId="0" applyNumberFormat="1" applyFont="1" applyBorder="1" applyAlignment="1">
      <alignment/>
    </xf>
    <xf numFmtId="0" fontId="27" fillId="0" borderId="50" xfId="0" applyFont="1" applyBorder="1" applyAlignment="1">
      <alignment/>
    </xf>
    <xf numFmtId="0" fontId="27" fillId="0" borderId="37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zoomScalePageLayoutView="0" workbookViewId="0" topLeftCell="A1">
      <selection activeCell="B2" sqref="B2:R2"/>
    </sheetView>
  </sheetViews>
  <sheetFormatPr defaultColWidth="9.00390625" defaultRowHeight="12.75"/>
  <cols>
    <col min="1" max="1" width="3.375" style="24" customWidth="1"/>
    <col min="2" max="2" width="20.875" style="0" customWidth="1"/>
    <col min="3" max="3" width="11.125" style="0" hidden="1" customWidth="1"/>
    <col min="4" max="4" width="9.75390625" style="0" hidden="1" customWidth="1"/>
    <col min="5" max="5" width="9.25390625" style="0" hidden="1" customWidth="1"/>
    <col min="6" max="6" width="9.00390625" style="0" hidden="1" customWidth="1"/>
    <col min="7" max="7" width="8.75390625" style="0" customWidth="1"/>
    <col min="8" max="8" width="8.875" style="0" customWidth="1"/>
    <col min="9" max="9" width="8.625" style="0" customWidth="1"/>
    <col min="10" max="10" width="8.75390625" style="0" customWidth="1"/>
    <col min="11" max="11" width="8.125" style="0" customWidth="1"/>
    <col min="12" max="12" width="8.375" style="0" customWidth="1"/>
    <col min="13" max="13" width="8.625" style="0" customWidth="1"/>
    <col min="14" max="14" width="8.125" style="0" customWidth="1"/>
    <col min="15" max="15" width="8.75390625" style="0" customWidth="1"/>
    <col min="16" max="16" width="7.75390625" style="0" customWidth="1"/>
    <col min="17" max="18" width="8.25390625" style="0" customWidth="1"/>
    <col min="19" max="19" width="8.375" style="0" customWidth="1"/>
    <col min="20" max="20" width="9.625" style="0" customWidth="1"/>
  </cols>
  <sheetData>
    <row r="1" spans="2:25" ht="12.75" customHeight="1">
      <c r="B1" s="96" t="s">
        <v>75</v>
      </c>
      <c r="C1" s="96"/>
      <c r="D1" s="96"/>
      <c r="E1" s="96"/>
      <c r="F1" s="96"/>
      <c r="G1" s="96"/>
      <c r="H1" s="96"/>
      <c r="I1" s="9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2:25" ht="12.75" customHeight="1">
      <c r="B2" s="96" t="s">
        <v>74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7"/>
      <c r="R2" s="97"/>
      <c r="S2" s="4"/>
      <c r="T2" s="4"/>
      <c r="U2" s="4"/>
      <c r="V2" s="4"/>
      <c r="W2" s="4"/>
      <c r="X2" s="4"/>
      <c r="Y2" s="4"/>
    </row>
    <row r="3" spans="2:25" ht="12.75" customHeight="1">
      <c r="B3" s="95" t="s">
        <v>0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3"/>
      <c r="V3" s="3"/>
      <c r="W3" s="3"/>
      <c r="X3" s="3"/>
      <c r="Y3" s="3"/>
    </row>
    <row r="4" spans="2:25" ht="21.75" customHeight="1">
      <c r="B4" s="94" t="s">
        <v>8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2"/>
      <c r="V4" s="2"/>
      <c r="W4" s="2"/>
      <c r="X4" s="2"/>
      <c r="Y4" s="2"/>
    </row>
    <row r="5" spans="2:25" ht="15.75" customHeight="1" thickBot="1">
      <c r="B5" s="94" t="s">
        <v>52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2"/>
      <c r="V5" s="2"/>
      <c r="W5" s="2"/>
      <c r="X5" s="2"/>
      <c r="Y5" s="2"/>
    </row>
    <row r="6" spans="2:25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  <c r="V6" s="2"/>
      <c r="W6" s="2"/>
      <c r="X6" s="2"/>
      <c r="Y6" s="2"/>
    </row>
    <row r="7" spans="1:25" ht="33" customHeight="1" thickBot="1">
      <c r="A7" s="33" t="s">
        <v>25</v>
      </c>
      <c r="B7" s="25" t="s">
        <v>5</v>
      </c>
      <c r="C7" s="43" t="s">
        <v>50</v>
      </c>
      <c r="D7" s="43" t="s">
        <v>59</v>
      </c>
      <c r="E7" s="43" t="s">
        <v>67</v>
      </c>
      <c r="F7" s="43" t="s">
        <v>68</v>
      </c>
      <c r="G7" s="6" t="s">
        <v>9</v>
      </c>
      <c r="H7" s="5" t="s">
        <v>10</v>
      </c>
      <c r="I7" s="5" t="s">
        <v>11</v>
      </c>
      <c r="J7" s="5" t="s">
        <v>12</v>
      </c>
      <c r="K7" s="5" t="s">
        <v>13</v>
      </c>
      <c r="L7" s="5" t="s">
        <v>14</v>
      </c>
      <c r="M7" s="5" t="s">
        <v>15</v>
      </c>
      <c r="N7" s="5" t="s">
        <v>16</v>
      </c>
      <c r="O7" s="5" t="s">
        <v>17</v>
      </c>
      <c r="P7" s="5" t="s">
        <v>18</v>
      </c>
      <c r="Q7" s="5" t="s">
        <v>20</v>
      </c>
      <c r="R7" s="15" t="s">
        <v>19</v>
      </c>
      <c r="S7" s="43" t="s">
        <v>71</v>
      </c>
      <c r="T7" s="39" t="s">
        <v>72</v>
      </c>
      <c r="U7" s="1"/>
      <c r="V7" s="1"/>
      <c r="W7" s="1"/>
      <c r="X7" s="1"/>
      <c r="Y7" s="1"/>
    </row>
    <row r="8" spans="1:20" ht="13.5" thickBot="1">
      <c r="A8" s="34" t="s">
        <v>26</v>
      </c>
      <c r="B8" s="26" t="s">
        <v>1</v>
      </c>
      <c r="C8" s="63">
        <v>35026.7</v>
      </c>
      <c r="D8" s="74">
        <v>52578</v>
      </c>
      <c r="E8" s="71">
        <v>52578</v>
      </c>
      <c r="F8" s="71">
        <v>52578</v>
      </c>
      <c r="G8" s="7">
        <v>4076.7</v>
      </c>
      <c r="H8" s="7">
        <v>4076.7</v>
      </c>
      <c r="I8" s="7">
        <v>4076.7</v>
      </c>
      <c r="J8" s="7">
        <v>4076.7</v>
      </c>
      <c r="K8" s="7">
        <v>4076.7</v>
      </c>
      <c r="L8" s="7">
        <v>4076.7</v>
      </c>
      <c r="M8" s="7">
        <v>4076.7</v>
      </c>
      <c r="N8" s="7">
        <v>4076.7</v>
      </c>
      <c r="O8" s="7">
        <v>4076.7</v>
      </c>
      <c r="P8" s="7">
        <v>4076.7</v>
      </c>
      <c r="Q8" s="7">
        <v>4076.7</v>
      </c>
      <c r="R8" s="7">
        <v>4076.7</v>
      </c>
      <c r="S8" s="47">
        <f>SUM(G8:R8)</f>
        <v>48920.399999999994</v>
      </c>
      <c r="T8" s="61">
        <f>SUM(C8:R8)</f>
        <v>241681.10000000015</v>
      </c>
    </row>
    <row r="9" spans="1:20" ht="13.5" thickBot="1">
      <c r="A9" s="34"/>
      <c r="B9" s="26" t="s">
        <v>61</v>
      </c>
      <c r="C9" s="72"/>
      <c r="D9" s="75"/>
      <c r="E9" s="73">
        <v>5289.76</v>
      </c>
      <c r="F9" s="73">
        <v>4158.25</v>
      </c>
      <c r="G9" s="7">
        <f aca="true" t="shared" si="0" ref="G9:L9">27.62+24.46</f>
        <v>52.08</v>
      </c>
      <c r="H9" s="7">
        <f t="shared" si="0"/>
        <v>52.08</v>
      </c>
      <c r="I9" s="7">
        <f t="shared" si="0"/>
        <v>52.08</v>
      </c>
      <c r="J9" s="7">
        <f t="shared" si="0"/>
        <v>52.08</v>
      </c>
      <c r="K9" s="7">
        <f t="shared" si="0"/>
        <v>52.08</v>
      </c>
      <c r="L9" s="7">
        <f t="shared" si="0"/>
        <v>52.08</v>
      </c>
      <c r="M9" s="8">
        <f aca="true" t="shared" si="1" ref="M9:R9">28.15+27.23</f>
        <v>55.379999999999995</v>
      </c>
      <c r="N9" s="8">
        <f t="shared" si="1"/>
        <v>55.379999999999995</v>
      </c>
      <c r="O9" s="8">
        <f t="shared" si="1"/>
        <v>55.379999999999995</v>
      </c>
      <c r="P9" s="8">
        <f t="shared" si="1"/>
        <v>55.379999999999995</v>
      </c>
      <c r="Q9" s="8">
        <f t="shared" si="1"/>
        <v>55.379999999999995</v>
      </c>
      <c r="R9" s="8">
        <f t="shared" si="1"/>
        <v>55.379999999999995</v>
      </c>
      <c r="S9" s="47">
        <f>SUM(G9:R9)</f>
        <v>644.76</v>
      </c>
      <c r="T9" s="61">
        <f>SUM(C9:R9)</f>
        <v>10092.769999999995</v>
      </c>
    </row>
    <row r="10" spans="1:20" s="85" customFormat="1" ht="13.5" thickBot="1">
      <c r="A10" s="78" t="s">
        <v>27</v>
      </c>
      <c r="B10" s="79" t="s">
        <v>2</v>
      </c>
      <c r="C10" s="80">
        <v>27111.01</v>
      </c>
      <c r="D10" s="80">
        <v>41371.06</v>
      </c>
      <c r="E10" s="81">
        <v>48058.99</v>
      </c>
      <c r="F10" s="81">
        <v>56895.75</v>
      </c>
      <c r="G10" s="82">
        <f>SUM(G11:G24)</f>
        <v>3713.67</v>
      </c>
      <c r="H10" s="82">
        <f aca="true" t="shared" si="2" ref="H10:R10">SUM(H11:H24)</f>
        <v>4532.27</v>
      </c>
      <c r="I10" s="82">
        <f t="shared" si="2"/>
        <v>2716.18</v>
      </c>
      <c r="J10" s="82">
        <f t="shared" si="2"/>
        <v>3140.64</v>
      </c>
      <c r="K10" s="82">
        <f t="shared" si="2"/>
        <v>5591.66</v>
      </c>
      <c r="L10" s="82">
        <f t="shared" si="2"/>
        <v>2721.34</v>
      </c>
      <c r="M10" s="82">
        <f t="shared" si="2"/>
        <v>2802.23</v>
      </c>
      <c r="N10" s="82">
        <f t="shared" si="2"/>
        <v>3077.7300000000005</v>
      </c>
      <c r="O10" s="82">
        <f t="shared" si="2"/>
        <v>2622.7</v>
      </c>
      <c r="P10" s="82">
        <f t="shared" si="2"/>
        <v>3045.9200000000005</v>
      </c>
      <c r="Q10" s="82">
        <f t="shared" si="2"/>
        <v>2782.94</v>
      </c>
      <c r="R10" s="83">
        <f t="shared" si="2"/>
        <v>2879.1300000000006</v>
      </c>
      <c r="S10" s="81">
        <f>SUM(G10:R10)</f>
        <v>39626.409999999996</v>
      </c>
      <c r="T10" s="84">
        <f>SUM(C10:R10)</f>
        <v>213063.22000000006</v>
      </c>
    </row>
    <row r="11" spans="1:20" ht="13.5" thickBot="1">
      <c r="A11" s="34" t="s">
        <v>28</v>
      </c>
      <c r="B11" s="28" t="s">
        <v>73</v>
      </c>
      <c r="C11" s="64" t="s">
        <v>58</v>
      </c>
      <c r="D11" s="64" t="s">
        <v>60</v>
      </c>
      <c r="E11" s="59" t="s">
        <v>69</v>
      </c>
      <c r="F11" s="59" t="s">
        <v>70</v>
      </c>
      <c r="G11" s="7"/>
      <c r="H11" s="8"/>
      <c r="I11" s="8"/>
      <c r="J11" s="8">
        <v>23.59</v>
      </c>
      <c r="K11" s="8">
        <v>18.02</v>
      </c>
      <c r="L11" s="8">
        <v>7.46</v>
      </c>
      <c r="M11" s="8">
        <v>19.65</v>
      </c>
      <c r="N11" s="8">
        <v>14.52</v>
      </c>
      <c r="O11" s="8">
        <v>3.64</v>
      </c>
      <c r="P11" s="8">
        <v>13</v>
      </c>
      <c r="Q11" s="8">
        <v>10.83</v>
      </c>
      <c r="R11" s="16">
        <v>7.33</v>
      </c>
      <c r="S11" s="44">
        <f aca="true" t="shared" si="3" ref="S11:S26">SUM(G11:R11)</f>
        <v>118.03999999999999</v>
      </c>
      <c r="T11" s="61">
        <f aca="true" t="shared" si="4" ref="T11:T24">SUM(C11:R11)</f>
        <v>118.03999999999999</v>
      </c>
    </row>
    <row r="12" spans="1:20" ht="17.25" customHeight="1" thickBot="1">
      <c r="A12" s="34" t="s">
        <v>29</v>
      </c>
      <c r="B12" s="29" t="s">
        <v>51</v>
      </c>
      <c r="C12" s="65">
        <v>2088.44</v>
      </c>
      <c r="D12" s="65">
        <v>30.58</v>
      </c>
      <c r="E12" s="60">
        <v>1691.77</v>
      </c>
      <c r="F12" s="60">
        <v>4257</v>
      </c>
      <c r="G12" s="9">
        <v>840</v>
      </c>
      <c r="H12" s="10">
        <v>1800</v>
      </c>
      <c r="I12" s="10"/>
      <c r="J12" s="10"/>
      <c r="K12" s="10"/>
      <c r="L12" s="10"/>
      <c r="M12" s="10"/>
      <c r="N12" s="10"/>
      <c r="O12" s="10"/>
      <c r="P12" s="10"/>
      <c r="Q12" s="10"/>
      <c r="R12" s="17"/>
      <c r="S12" s="44">
        <f>SUM(G12:R12)</f>
        <v>2640</v>
      </c>
      <c r="T12" s="61">
        <f t="shared" si="4"/>
        <v>10707.79</v>
      </c>
    </row>
    <row r="13" spans="1:20" ht="16.5" customHeight="1" thickBot="1">
      <c r="A13" s="34" t="s">
        <v>30</v>
      </c>
      <c r="B13" s="27" t="s">
        <v>4</v>
      </c>
      <c r="C13" s="65">
        <v>2535.8</v>
      </c>
      <c r="D13" s="65">
        <v>0</v>
      </c>
      <c r="E13" s="60">
        <v>0</v>
      </c>
      <c r="F13" s="60">
        <v>4783.01</v>
      </c>
      <c r="G13" s="9"/>
      <c r="H13" s="10"/>
      <c r="I13" s="10"/>
      <c r="J13" s="10"/>
      <c r="K13" s="10">
        <v>2763.1</v>
      </c>
      <c r="L13" s="10"/>
      <c r="M13" s="10"/>
      <c r="N13" s="10"/>
      <c r="O13" s="10"/>
      <c r="P13" s="10"/>
      <c r="Q13" s="10"/>
      <c r="R13" s="17"/>
      <c r="S13" s="44">
        <f t="shared" si="3"/>
        <v>2763.1</v>
      </c>
      <c r="T13" s="61">
        <f t="shared" si="4"/>
        <v>10081.91</v>
      </c>
    </row>
    <row r="14" spans="1:20" ht="15" customHeight="1" thickBot="1">
      <c r="A14" s="34" t="s">
        <v>53</v>
      </c>
      <c r="B14" s="27" t="s">
        <v>54</v>
      </c>
      <c r="C14" s="65">
        <v>400</v>
      </c>
      <c r="D14" s="65">
        <v>0</v>
      </c>
      <c r="E14" s="60">
        <v>300</v>
      </c>
      <c r="F14" s="60">
        <v>400</v>
      </c>
      <c r="G14" s="9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7"/>
      <c r="S14" s="44">
        <f>SUM(G14:R14)</f>
        <v>0</v>
      </c>
      <c r="T14" s="61">
        <f t="shared" si="4"/>
        <v>1100</v>
      </c>
    </row>
    <row r="15" spans="1:20" ht="15.75" customHeight="1" thickBot="1">
      <c r="A15" s="34" t="s">
        <v>31</v>
      </c>
      <c r="B15" s="29" t="s">
        <v>45</v>
      </c>
      <c r="C15" s="65">
        <v>0</v>
      </c>
      <c r="D15" s="65">
        <v>1008.77</v>
      </c>
      <c r="E15" s="60">
        <v>283</v>
      </c>
      <c r="F15" s="60">
        <v>710.26</v>
      </c>
      <c r="G15" s="9"/>
      <c r="H15" s="10"/>
      <c r="I15" s="10">
        <v>60</v>
      </c>
      <c r="J15" s="10">
        <v>250</v>
      </c>
      <c r="K15" s="10">
        <v>60</v>
      </c>
      <c r="L15" s="10"/>
      <c r="M15" s="10"/>
      <c r="N15" s="10">
        <v>385</v>
      </c>
      <c r="O15" s="10"/>
      <c r="P15" s="10"/>
      <c r="Q15" s="10"/>
      <c r="R15" s="17"/>
      <c r="S15" s="44">
        <f t="shared" si="3"/>
        <v>755</v>
      </c>
      <c r="T15" s="61">
        <f t="shared" si="4"/>
        <v>2757.0299999999997</v>
      </c>
    </row>
    <row r="16" spans="1:20" ht="15" customHeight="1" thickBot="1">
      <c r="A16" s="34" t="s">
        <v>62</v>
      </c>
      <c r="B16" s="29" t="s">
        <v>63</v>
      </c>
      <c r="C16" s="65"/>
      <c r="D16" s="65"/>
      <c r="E16" s="60">
        <v>4858.41</v>
      </c>
      <c r="F16" s="60">
        <v>3535.57</v>
      </c>
      <c r="G16" s="9"/>
      <c r="H16" s="9"/>
      <c r="I16" s="9"/>
      <c r="J16" s="9"/>
      <c r="K16" s="9"/>
      <c r="L16" s="9"/>
      <c r="M16" s="10"/>
      <c r="N16" s="10"/>
      <c r="O16" s="10"/>
      <c r="P16" s="10"/>
      <c r="Q16" s="10"/>
      <c r="R16" s="17"/>
      <c r="S16" s="44">
        <f>SUM(G16:R16)</f>
        <v>0</v>
      </c>
      <c r="T16" s="61">
        <f>SUM(C16:R16)</f>
        <v>8393.98</v>
      </c>
    </row>
    <row r="17" spans="1:20" ht="12.75" customHeight="1" thickBot="1">
      <c r="A17" s="34"/>
      <c r="B17" s="29" t="s">
        <v>64</v>
      </c>
      <c r="C17" s="65"/>
      <c r="D17" s="65"/>
      <c r="E17" s="60">
        <v>262.23</v>
      </c>
      <c r="F17" s="60">
        <v>330.6</v>
      </c>
      <c r="G17" s="9">
        <v>27.63</v>
      </c>
      <c r="H17" s="9">
        <v>27.63</v>
      </c>
      <c r="I17" s="9">
        <v>27.63</v>
      </c>
      <c r="J17" s="9">
        <v>27.63</v>
      </c>
      <c r="K17" s="9">
        <v>27.63</v>
      </c>
      <c r="L17" s="9">
        <v>27.63</v>
      </c>
      <c r="M17" s="9">
        <v>27.63</v>
      </c>
      <c r="N17" s="10">
        <v>28.65</v>
      </c>
      <c r="O17" s="10">
        <v>28.14</v>
      </c>
      <c r="P17" s="10">
        <v>28.14</v>
      </c>
      <c r="Q17" s="10">
        <v>28.14</v>
      </c>
      <c r="R17" s="10">
        <v>28.14</v>
      </c>
      <c r="S17" s="44">
        <f>SUM(G17:R17)</f>
        <v>334.61999999999995</v>
      </c>
      <c r="T17" s="61">
        <f>SUM(C17:R17)</f>
        <v>927.4499999999999</v>
      </c>
    </row>
    <row r="18" spans="1:20" ht="14.25" customHeight="1" thickBot="1">
      <c r="A18" s="34"/>
      <c r="B18" s="29" t="s">
        <v>65</v>
      </c>
      <c r="C18" s="65"/>
      <c r="D18" s="65"/>
      <c r="E18" s="60">
        <v>169.18</v>
      </c>
      <c r="F18" s="60">
        <v>292.26</v>
      </c>
      <c r="G18" s="9">
        <v>24.46</v>
      </c>
      <c r="H18" s="9">
        <v>24.46</v>
      </c>
      <c r="I18" s="9">
        <v>24.46</v>
      </c>
      <c r="J18" s="9">
        <v>24.46</v>
      </c>
      <c r="K18" s="9">
        <v>24.46</v>
      </c>
      <c r="L18" s="9">
        <v>24.46</v>
      </c>
      <c r="M18" s="9">
        <v>24.46</v>
      </c>
      <c r="N18" s="10">
        <v>27.22</v>
      </c>
      <c r="O18" s="10">
        <v>27.22</v>
      </c>
      <c r="P18" s="10">
        <v>27.22</v>
      </c>
      <c r="Q18" s="10">
        <v>27.22</v>
      </c>
      <c r="R18" s="10">
        <v>27.22</v>
      </c>
      <c r="S18" s="44">
        <f>SUM(G18:R18)</f>
        <v>307.32000000000005</v>
      </c>
      <c r="T18" s="61">
        <f>SUM(C18:R18)</f>
        <v>768.7600000000002</v>
      </c>
    </row>
    <row r="19" spans="1:20" ht="22.5" customHeight="1" thickBot="1">
      <c r="A19" s="34" t="s">
        <v>32</v>
      </c>
      <c r="B19" s="29" t="s">
        <v>40</v>
      </c>
      <c r="C19" s="65">
        <v>0</v>
      </c>
      <c r="D19" s="65">
        <v>186</v>
      </c>
      <c r="E19" s="60">
        <v>37.09</v>
      </c>
      <c r="F19" s="60">
        <v>92</v>
      </c>
      <c r="G19" s="9">
        <v>37.16</v>
      </c>
      <c r="H19" s="10">
        <v>19</v>
      </c>
      <c r="I19" s="10"/>
      <c r="J19" s="10"/>
      <c r="K19" s="10"/>
      <c r="L19" s="10"/>
      <c r="M19" s="10"/>
      <c r="N19" s="10"/>
      <c r="O19" s="10"/>
      <c r="P19" s="10"/>
      <c r="Q19" s="10"/>
      <c r="R19" s="17"/>
      <c r="S19" s="44">
        <f t="shared" si="3"/>
        <v>56.16</v>
      </c>
      <c r="T19" s="61">
        <f t="shared" si="4"/>
        <v>371.25</v>
      </c>
    </row>
    <row r="20" spans="1:20" ht="33" customHeight="1" thickBot="1">
      <c r="A20" s="34" t="s">
        <v>33</v>
      </c>
      <c r="B20" s="29" t="s">
        <v>66</v>
      </c>
      <c r="C20" s="65">
        <v>1252.87</v>
      </c>
      <c r="D20" s="65">
        <v>1935.42</v>
      </c>
      <c r="E20" s="60">
        <v>1967.22</v>
      </c>
      <c r="F20" s="60">
        <v>2067.29</v>
      </c>
      <c r="G20" s="9">
        <v>166.52</v>
      </c>
      <c r="H20" s="10">
        <v>174.55</v>
      </c>
      <c r="I20" s="10">
        <v>138.59</v>
      </c>
      <c r="J20" s="10">
        <v>165.99</v>
      </c>
      <c r="K20" s="10">
        <v>138.08</v>
      </c>
      <c r="L20" s="10">
        <v>105.88</v>
      </c>
      <c r="M20" s="10">
        <v>110.66</v>
      </c>
      <c r="N20" s="10">
        <v>93.79</v>
      </c>
      <c r="O20" s="10">
        <v>105.46</v>
      </c>
      <c r="P20" s="10">
        <v>218.39</v>
      </c>
      <c r="Q20" s="10">
        <v>138.09</v>
      </c>
      <c r="R20" s="17">
        <v>117.49</v>
      </c>
      <c r="S20" s="44">
        <f t="shared" si="3"/>
        <v>1673.4900000000002</v>
      </c>
      <c r="T20" s="61">
        <f t="shared" si="4"/>
        <v>8896.29</v>
      </c>
    </row>
    <row r="21" spans="1:20" ht="24" customHeight="1" thickBot="1">
      <c r="A21" s="34" t="s">
        <v>43</v>
      </c>
      <c r="B21" s="29" t="s">
        <v>55</v>
      </c>
      <c r="C21" s="66">
        <v>216.94</v>
      </c>
      <c r="D21" s="66">
        <v>275.48</v>
      </c>
      <c r="E21" s="57">
        <v>215.19</v>
      </c>
      <c r="F21" s="57">
        <v>208.55</v>
      </c>
      <c r="G21" s="9">
        <v>13.18</v>
      </c>
      <c r="H21" s="10">
        <v>11.36</v>
      </c>
      <c r="I21" s="10">
        <v>9.9</v>
      </c>
      <c r="J21" s="10">
        <v>11.52</v>
      </c>
      <c r="K21" s="10">
        <v>1.22</v>
      </c>
      <c r="L21" s="10">
        <v>17.26</v>
      </c>
      <c r="M21" s="10">
        <v>19.36</v>
      </c>
      <c r="N21" s="10">
        <v>22.55</v>
      </c>
      <c r="O21" s="10">
        <v>33.52</v>
      </c>
      <c r="P21" s="10">
        <v>8.29</v>
      </c>
      <c r="Q21" s="10">
        <v>30.59</v>
      </c>
      <c r="R21" s="17">
        <v>10.77</v>
      </c>
      <c r="S21" s="44">
        <f t="shared" si="3"/>
        <v>189.52</v>
      </c>
      <c r="T21" s="61">
        <f t="shared" si="4"/>
        <v>1105.6799999999998</v>
      </c>
    </row>
    <row r="22" spans="1:20" ht="35.25" customHeight="1" thickBot="1">
      <c r="A22" s="34" t="s">
        <v>44</v>
      </c>
      <c r="B22" s="29" t="s">
        <v>56</v>
      </c>
      <c r="C22" s="66">
        <v>1563.45</v>
      </c>
      <c r="D22" s="66">
        <v>2014.91</v>
      </c>
      <c r="E22" s="57">
        <v>2122.34</v>
      </c>
      <c r="F22" s="57">
        <v>2324.81</v>
      </c>
      <c r="G22" s="9">
        <f>8.22+79.68+98.15</f>
        <v>186.05</v>
      </c>
      <c r="H22" s="10">
        <f>7.75+111.02+95.14</f>
        <v>213.91</v>
      </c>
      <c r="I22" s="10">
        <f>99.23+6.74+74.02</f>
        <v>179.99</v>
      </c>
      <c r="J22" s="10">
        <f>7.21+81.84+262.95</f>
        <v>352</v>
      </c>
      <c r="K22" s="10">
        <f>7.04+90.36+71.26</f>
        <v>168.66000000000003</v>
      </c>
      <c r="L22" s="10">
        <f>8.18+62.89+126.18</f>
        <v>197.25</v>
      </c>
      <c r="M22" s="10">
        <f>7.86+106.52+57.47</f>
        <v>171.85</v>
      </c>
      <c r="N22" s="10">
        <f>7.2+65.48+91.61</f>
        <v>164.29000000000002</v>
      </c>
      <c r="O22" s="10">
        <f>5.24+58.23+83.42</f>
        <v>146.89</v>
      </c>
      <c r="P22" s="10">
        <f>5.31+93.28+237.03</f>
        <v>335.62</v>
      </c>
      <c r="Q22" s="10">
        <f>5.87+58.66+61.05</f>
        <v>125.58</v>
      </c>
      <c r="R22" s="17">
        <f>5.86+177.4+102.47</f>
        <v>285.73</v>
      </c>
      <c r="S22" s="44">
        <f t="shared" si="3"/>
        <v>2527.8199999999997</v>
      </c>
      <c r="T22" s="61">
        <f t="shared" si="4"/>
        <v>10553.33</v>
      </c>
    </row>
    <row r="23" spans="1:20" ht="15.75" customHeight="1" thickBot="1">
      <c r="A23" s="34" t="s">
        <v>46</v>
      </c>
      <c r="B23" s="29" t="s">
        <v>7</v>
      </c>
      <c r="C23" s="66">
        <v>9874.66</v>
      </c>
      <c r="D23" s="66">
        <v>22600.74</v>
      </c>
      <c r="E23" s="57">
        <v>22570.9</v>
      </c>
      <c r="F23" s="57">
        <v>24221.13</v>
      </c>
      <c r="G23" s="9">
        <f>3713.67-1462.42</f>
        <v>2251.25</v>
      </c>
      <c r="H23" s="10">
        <f>4532.27-2425.67</f>
        <v>2106.6000000000004</v>
      </c>
      <c r="I23" s="10">
        <f>2716.18-596.48</f>
        <v>2119.7</v>
      </c>
      <c r="J23" s="10">
        <f>3140.64-1011.1</f>
        <v>2129.54</v>
      </c>
      <c r="K23" s="10">
        <f>5591.66-3357.08</f>
        <v>2234.58</v>
      </c>
      <c r="L23" s="10">
        <f>2721.34-535.85</f>
        <v>2185.4900000000002</v>
      </c>
      <c r="M23" s="10">
        <f>2802.23-529.52</f>
        <v>2272.71</v>
      </c>
      <c r="N23" s="10">
        <f>3077.73-892.05</f>
        <v>2185.6800000000003</v>
      </c>
      <c r="O23" s="10">
        <f>2622.7-500.9</f>
        <v>2121.7999999999997</v>
      </c>
      <c r="P23" s="10">
        <f>3045.92-786.69</f>
        <v>2259.23</v>
      </c>
      <c r="Q23" s="10">
        <f>2782.94-516.48</f>
        <v>2266.46</v>
      </c>
      <c r="R23" s="17">
        <f>2879.13-632.71</f>
        <v>2246.42</v>
      </c>
      <c r="S23" s="44">
        <f t="shared" si="3"/>
        <v>26379.46</v>
      </c>
      <c r="T23" s="61">
        <f t="shared" si="4"/>
        <v>105646.89000000001</v>
      </c>
    </row>
    <row r="24" spans="1:20" ht="13.5" customHeight="1" thickBot="1">
      <c r="A24" s="34" t="s">
        <v>48</v>
      </c>
      <c r="B24" s="30" t="s">
        <v>3</v>
      </c>
      <c r="C24" s="67">
        <v>1104.78</v>
      </c>
      <c r="D24" s="67">
        <v>2037.71</v>
      </c>
      <c r="E24" s="58">
        <v>2164.23</v>
      </c>
      <c r="F24" s="58">
        <v>2161.31</v>
      </c>
      <c r="G24" s="11">
        <f>1.97+165.45</f>
        <v>167.42</v>
      </c>
      <c r="H24" s="12">
        <f>0.82+153.94</f>
        <v>154.76</v>
      </c>
      <c r="I24" s="12">
        <f>1.97+153.94</f>
        <v>155.91</v>
      </c>
      <c r="J24" s="12">
        <f>1.97+153.94</f>
        <v>155.91</v>
      </c>
      <c r="K24" s="12">
        <f>1.97+153.94</f>
        <v>155.91</v>
      </c>
      <c r="L24" s="12">
        <f>1.97+153.94</f>
        <v>155.91</v>
      </c>
      <c r="M24" s="12">
        <f>1.97+153.94</f>
        <v>155.91</v>
      </c>
      <c r="N24" s="12">
        <f>2.09+153.94</f>
        <v>156.03</v>
      </c>
      <c r="O24" s="12">
        <f>2.09+153.94</f>
        <v>156.03</v>
      </c>
      <c r="P24" s="12">
        <f>2.09+153.94</f>
        <v>156.03</v>
      </c>
      <c r="Q24" s="12">
        <f>2.09+153.94</f>
        <v>156.03</v>
      </c>
      <c r="R24" s="18">
        <f>2.09+153.94</f>
        <v>156.03</v>
      </c>
      <c r="S24" s="44">
        <f t="shared" si="3"/>
        <v>1881.8799999999997</v>
      </c>
      <c r="T24" s="61">
        <f t="shared" si="4"/>
        <v>9349.910000000002</v>
      </c>
    </row>
    <row r="25" spans="1:20" ht="13.5" customHeight="1" thickBot="1">
      <c r="A25" s="34"/>
      <c r="B25" s="36" t="s">
        <v>49</v>
      </c>
      <c r="C25" s="68">
        <f>C8*5%</f>
        <v>1751.335</v>
      </c>
      <c r="D25" s="76">
        <f>D8*5%</f>
        <v>2628.9</v>
      </c>
      <c r="E25" s="52">
        <f>E8*5%</f>
        <v>2628.9</v>
      </c>
      <c r="F25" s="52">
        <f>F8*5%</f>
        <v>2628.9</v>
      </c>
      <c r="G25" s="51">
        <f>(G8+G9)*5%</f>
        <v>206.439</v>
      </c>
      <c r="H25" s="51">
        <f aca="true" t="shared" si="5" ref="H25:R25">(H8+H9)*5%</f>
        <v>206.439</v>
      </c>
      <c r="I25" s="51">
        <f t="shared" si="5"/>
        <v>206.439</v>
      </c>
      <c r="J25" s="51">
        <f t="shared" si="5"/>
        <v>206.439</v>
      </c>
      <c r="K25" s="51">
        <f t="shared" si="5"/>
        <v>206.439</v>
      </c>
      <c r="L25" s="51">
        <f t="shared" si="5"/>
        <v>206.439</v>
      </c>
      <c r="M25" s="51">
        <f t="shared" si="5"/>
        <v>206.604</v>
      </c>
      <c r="N25" s="51">
        <f t="shared" si="5"/>
        <v>206.604</v>
      </c>
      <c r="O25" s="51">
        <f t="shared" si="5"/>
        <v>206.604</v>
      </c>
      <c r="P25" s="51">
        <f t="shared" si="5"/>
        <v>206.604</v>
      </c>
      <c r="Q25" s="51">
        <f t="shared" si="5"/>
        <v>206.604</v>
      </c>
      <c r="R25" s="51">
        <f t="shared" si="5"/>
        <v>206.604</v>
      </c>
      <c r="S25" s="52">
        <f t="shared" si="3"/>
        <v>2478.258</v>
      </c>
      <c r="T25" s="62"/>
    </row>
    <row r="26" spans="1:20" ht="15" customHeight="1" thickBot="1">
      <c r="A26" s="34" t="s">
        <v>47</v>
      </c>
      <c r="B26" s="48" t="s">
        <v>42</v>
      </c>
      <c r="C26" s="69"/>
      <c r="D26" s="69"/>
      <c r="E26" s="77">
        <f aca="true" t="shared" si="6" ref="E26:R26">SUM(E8+E9-E10)-E25</f>
        <v>7179.870000000004</v>
      </c>
      <c r="F26" s="77">
        <f>SUM(F8+F9-F10)-F25</f>
        <v>-2788.4</v>
      </c>
      <c r="G26" s="53">
        <f t="shared" si="6"/>
        <v>208.67099999999968</v>
      </c>
      <c r="H26" s="53">
        <f t="shared" si="6"/>
        <v>-609.9290000000007</v>
      </c>
      <c r="I26" s="53">
        <f t="shared" si="6"/>
        <v>1206.1609999999998</v>
      </c>
      <c r="J26" s="53">
        <f t="shared" si="6"/>
        <v>781.7009999999999</v>
      </c>
      <c r="K26" s="53">
        <f t="shared" si="6"/>
        <v>-1669.3190000000002</v>
      </c>
      <c r="L26" s="53">
        <f t="shared" si="6"/>
        <v>1201.0009999999995</v>
      </c>
      <c r="M26" s="53">
        <f t="shared" si="6"/>
        <v>1123.2459999999999</v>
      </c>
      <c r="N26" s="53">
        <f t="shared" si="6"/>
        <v>847.7459999999994</v>
      </c>
      <c r="O26" s="53">
        <f t="shared" si="6"/>
        <v>1302.776</v>
      </c>
      <c r="P26" s="53">
        <f t="shared" si="6"/>
        <v>879.5559999999994</v>
      </c>
      <c r="Q26" s="53">
        <f t="shared" si="6"/>
        <v>1142.5359999999998</v>
      </c>
      <c r="R26" s="53">
        <f t="shared" si="6"/>
        <v>1046.3459999999993</v>
      </c>
      <c r="S26" s="52">
        <f t="shared" si="3"/>
        <v>7460.491999999997</v>
      </c>
      <c r="T26" s="49"/>
    </row>
    <row r="27" spans="1:20" ht="22.5" customHeight="1" thickBot="1">
      <c r="A27" s="78" t="s">
        <v>34</v>
      </c>
      <c r="B27" s="86" t="s">
        <v>21</v>
      </c>
      <c r="C27" s="87">
        <f>SUM(C8-C10)-C25</f>
        <v>6164.354999999999</v>
      </c>
      <c r="D27" s="88">
        <f>SUM(D8-D10)-D25</f>
        <v>8578.040000000003</v>
      </c>
      <c r="E27" s="89">
        <f>SUM(E8+E9-E10)-E25</f>
        <v>7179.870000000004</v>
      </c>
      <c r="F27" s="89">
        <f>SUM(F8+F9-F10)-F25</f>
        <v>-2788.4</v>
      </c>
      <c r="G27" s="90">
        <f>SUM(G8+G9-G10)-G25</f>
        <v>208.67099999999968</v>
      </c>
      <c r="H27" s="91">
        <f>SUM(H26+G27)</f>
        <v>-401.25800000000095</v>
      </c>
      <c r="I27" s="91">
        <f aca="true" t="shared" si="7" ref="I27:R27">SUM(I26+H27)</f>
        <v>804.9029999999989</v>
      </c>
      <c r="J27" s="91">
        <f t="shared" si="7"/>
        <v>1586.603999999999</v>
      </c>
      <c r="K27" s="91">
        <f t="shared" si="7"/>
        <v>-82.71500000000128</v>
      </c>
      <c r="L27" s="91">
        <f t="shared" si="7"/>
        <v>1118.2859999999982</v>
      </c>
      <c r="M27" s="91">
        <f t="shared" si="7"/>
        <v>2241.5319999999983</v>
      </c>
      <c r="N27" s="91">
        <f t="shared" si="7"/>
        <v>3089.2779999999975</v>
      </c>
      <c r="O27" s="91">
        <f t="shared" si="7"/>
        <v>4392.053999999997</v>
      </c>
      <c r="P27" s="91">
        <f t="shared" si="7"/>
        <v>5271.609999999997</v>
      </c>
      <c r="Q27" s="91">
        <f t="shared" si="7"/>
        <v>6414.145999999997</v>
      </c>
      <c r="R27" s="91">
        <f t="shared" si="7"/>
        <v>7460.491999999997</v>
      </c>
      <c r="S27" s="92"/>
      <c r="T27" s="93"/>
    </row>
    <row r="28" spans="1:20" ht="21.75" customHeight="1" thickBot="1">
      <c r="A28" s="34" t="s">
        <v>35</v>
      </c>
      <c r="B28" s="37" t="s">
        <v>22</v>
      </c>
      <c r="C28" s="70">
        <v>6164.36</v>
      </c>
      <c r="D28" s="68">
        <f>SUM(D27+C28)</f>
        <v>14742.400000000001</v>
      </c>
      <c r="E28" s="52">
        <f>SUM(E27+D28)+0.06</f>
        <v>21922.330000000005</v>
      </c>
      <c r="F28" s="52">
        <f>SUM(F27+E28)</f>
        <v>19133.930000000004</v>
      </c>
      <c r="G28" s="52">
        <f>SUM(G27+F28)</f>
        <v>19342.601000000002</v>
      </c>
      <c r="H28" s="54">
        <f aca="true" t="shared" si="8" ref="H28:Q28">SUM(H26+G28)</f>
        <v>18732.672000000002</v>
      </c>
      <c r="I28" s="54">
        <f t="shared" si="8"/>
        <v>19938.833000000002</v>
      </c>
      <c r="J28" s="54">
        <f t="shared" si="8"/>
        <v>20720.534000000003</v>
      </c>
      <c r="K28" s="54">
        <f t="shared" si="8"/>
        <v>19051.215000000004</v>
      </c>
      <c r="L28" s="54">
        <f t="shared" si="8"/>
        <v>20252.216000000004</v>
      </c>
      <c r="M28" s="54">
        <f t="shared" si="8"/>
        <v>21375.462000000003</v>
      </c>
      <c r="N28" s="54">
        <f t="shared" si="8"/>
        <v>22223.208000000002</v>
      </c>
      <c r="O28" s="54">
        <f t="shared" si="8"/>
        <v>23525.984000000004</v>
      </c>
      <c r="P28" s="54">
        <f t="shared" si="8"/>
        <v>24405.540000000005</v>
      </c>
      <c r="Q28" s="54">
        <f t="shared" si="8"/>
        <v>25548.076000000005</v>
      </c>
      <c r="R28" s="54">
        <f>SUM(R26+Q28)</f>
        <v>26594.422000000002</v>
      </c>
      <c r="S28" s="44"/>
      <c r="T28" s="50"/>
    </row>
    <row r="29" spans="1:20" ht="8.25" customHeight="1" hidden="1" thickBot="1">
      <c r="A29" s="34" t="s">
        <v>36</v>
      </c>
      <c r="B29" s="37" t="s">
        <v>6</v>
      </c>
      <c r="C29" s="55"/>
      <c r="D29" s="55"/>
      <c r="E29" s="55"/>
      <c r="F29" s="55"/>
      <c r="G29" s="13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9"/>
      <c r="S29" s="44"/>
      <c r="T29" s="40"/>
    </row>
    <row r="30" spans="1:20" ht="15" customHeight="1" hidden="1" thickBot="1">
      <c r="A30" s="35" t="s">
        <v>37</v>
      </c>
      <c r="B30" s="31" t="s">
        <v>23</v>
      </c>
      <c r="C30" s="55"/>
      <c r="D30" s="55"/>
      <c r="E30" s="55"/>
      <c r="F30" s="55"/>
      <c r="G30" s="13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9"/>
      <c r="S30" s="45"/>
      <c r="T30" s="41"/>
    </row>
    <row r="31" spans="1:20" ht="0.75" customHeight="1" hidden="1" thickBot="1">
      <c r="A31" s="35" t="s">
        <v>38</v>
      </c>
      <c r="B31" s="32" t="s">
        <v>39</v>
      </c>
      <c r="C31" s="56"/>
      <c r="D31" s="56"/>
      <c r="E31" s="56"/>
      <c r="F31" s="56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3">
        <f>SUM(R27-R29)</f>
        <v>7460.491999999997</v>
      </c>
      <c r="S31" s="46"/>
      <c r="T31" s="42"/>
    </row>
    <row r="32" spans="1:20" ht="24" customHeight="1" hidden="1" thickBot="1">
      <c r="A32" s="38" t="s">
        <v>41</v>
      </c>
      <c r="B32" s="32" t="s">
        <v>24</v>
      </c>
      <c r="C32" s="56"/>
      <c r="D32" s="56"/>
      <c r="E32" s="56"/>
      <c r="F32" s="56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3">
        <f>SUM(R28-R29)</f>
        <v>26594.422000000002</v>
      </c>
      <c r="S32" s="46"/>
      <c r="T32" s="42"/>
    </row>
    <row r="33" spans="7:20" ht="3" customHeight="1" hidden="1"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1"/>
    </row>
    <row r="34" ht="6" customHeight="1" hidden="1"/>
    <row r="35" ht="12.75" hidden="1"/>
    <row r="36" ht="12.75" hidden="1"/>
    <row r="37" ht="12.75">
      <c r="B37" t="s">
        <v>57</v>
      </c>
    </row>
    <row r="41" ht="12.75" customHeight="1"/>
    <row r="42" ht="12.75" customHeight="1"/>
  </sheetData>
  <sheetProtection/>
  <mergeCells count="5">
    <mergeCell ref="B4:T4"/>
    <mergeCell ref="B5:T5"/>
    <mergeCell ref="B3:T3"/>
    <mergeCell ref="B1:I1"/>
    <mergeCell ref="B2:R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2020-02-20T11:39:10Z</cp:lastPrinted>
  <dcterms:created xsi:type="dcterms:W3CDTF">2011-06-16T11:06:26Z</dcterms:created>
  <dcterms:modified xsi:type="dcterms:W3CDTF">2020-02-20T11:39:12Z</dcterms:modified>
  <cp:category/>
  <cp:version/>
  <cp:contentType/>
  <cp:contentStatus/>
</cp:coreProperties>
</file>