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<sst xmlns="http://schemas.openxmlformats.org/spreadsheetml/2006/main" count="80" uniqueCount="80">
  <si>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</si>
  <si>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</si>
  <si>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</si>
  <si>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</si>
  <si>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</si>
  <si>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</si>
  <si>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</si>
  <si>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</si>
  <si>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</si>
  <si>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</si>
  <si>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</si>
  <si>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</si>
  <si>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</si>
  <si>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</si>
  <si>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</si>
  <si>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</si>
  <si>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</si>
  <si>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</si>
  <si>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</si>
  <si>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</si>
  <si>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</si>
  <si>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</si>
  <si>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</si>
  <si>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</si>
  <si>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</si>
  <si>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</si>
  <si>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</si>
  <si>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</si>
  <si>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</si>
  <si>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</si>
  <si>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</si>
  <si>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</si>
  <si>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</si>
  <si>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</si>
  <si>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</si>
  <si>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</si>
  <si>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4.10</t>
  </si>
  <si>
    <t>4.11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</si>
  <si>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</si>
  <si>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</si>
  <si>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</si>
  <si>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</si>
  <si>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</si>
  <si>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</si>
  <si>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</si>
  <si>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Луначарского д.9</t>
  </si>
  <si>
    <t>Благоустройство  территории</t>
  </si>
  <si>
    <t>11</t>
  </si>
  <si>
    <t>Итого за 2011 г</t>
  </si>
  <si>
    <t>Результат за месяц</t>
  </si>
  <si>
    <t>Итого за 2012 г</t>
  </si>
  <si>
    <t xml:space="preserve">Материалы </t>
  </si>
  <si>
    <t>4.12</t>
  </si>
  <si>
    <t>4.14</t>
  </si>
  <si>
    <t>5</t>
  </si>
  <si>
    <t>4.15</t>
  </si>
  <si>
    <t>Итого за 2013 г</t>
  </si>
  <si>
    <t>Итого за 2014 г</t>
  </si>
  <si>
    <t>рентабельность 5%</t>
  </si>
  <si>
    <t>Услуги сторонних орган.</t>
  </si>
  <si>
    <t>Проверка дымовых каналов</t>
  </si>
  <si>
    <t>Транспортные(ГСМ,зап.части,амортизация,страхование ит.д.)</t>
  </si>
  <si>
    <t xml:space="preserve">Расходы на управление,аренда, связь </t>
  </si>
  <si>
    <t>Итого за 2015 г</t>
  </si>
  <si>
    <t>4.5</t>
  </si>
  <si>
    <t>Исполнитель вед. экономист 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</si>
  <si>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</si>
  <si>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</si>
  <si>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</si>
  <si>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</si>
  <si>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</si>
  <si>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</si>
  <si>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</si>
  <si>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</si>
  <si>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Итого за 2018 г</t>
  </si>
  <si>
    <t>Итого за 2019 г</t>
  </si>
  <si>
    <t>Всего за 2010-2019</t>
  </si>
  <si>
    <t>Вывоз ТБО (Утилизация)</t>
  </si>
  <si>
    <t>Дом по ул.Луначарского  д. 9 вступил в ООО "Наш дом" с  февраля 2010 года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</si>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</sst>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9" fillId="2" borderId="16" xfId="0" applyFont="1" applyFill="1" applyBorder="1" applyAlignment="1">
      <alignment/>
    </xf>
    <xf numFmtId="0" fontId="19" fillId="2" borderId="2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0" fillId="0" borderId="24" xfId="0" applyFont="1" applyBorder="1" applyAlignment="1">
      <alignment horizontal="left" wrapText="1"/>
    </xf>
    <xf numFmtId="49" fontId="20" fillId="0" borderId="25" xfId="0" applyNumberFormat="1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2" borderId="27" xfId="0" applyFont="1" applyFill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2" borderId="31" xfId="0" applyFont="1" applyFill="1" applyBorder="1" applyAlignment="1">
      <alignment wrapText="1"/>
    </xf>
    <xf numFmtId="2" fontId="20" fillId="0" borderId="32" xfId="0" applyNumberFormat="1" applyFont="1" applyBorder="1" applyAlignment="1">
      <alignment horizontal="right" wrapText="1"/>
    </xf>
    <xf numFmtId="2" fontId="20" fillId="0" borderId="28" xfId="0" applyNumberFormat="1" applyFont="1" applyBorder="1" applyAlignment="1">
      <alignment horizontal="right" wrapText="1"/>
    </xf>
    <xf numFmtId="2" fontId="20" fillId="0" borderId="29" xfId="0" applyNumberFormat="1" applyFont="1" applyBorder="1" applyAlignment="1">
      <alignment horizontal="right" wrapText="1"/>
    </xf>
    <xf numFmtId="0" fontId="20" fillId="0" borderId="33" xfId="0" applyFont="1" applyBorder="1" applyAlignment="1">
      <alignment wrapText="1"/>
    </xf>
    <xf numFmtId="49" fontId="0" fillId="0" borderId="31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2" borderId="33" xfId="0" applyFill="1" applyBorder="1" applyAlignment="1">
      <alignment/>
    </xf>
    <xf numFmtId="0" fontId="20" fillId="0" borderId="32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5" xfId="0" applyFont="1" applyBorder="1" applyAlignment="1">
      <alignment/>
    </xf>
    <xf numFmtId="0" fontId="19" fillId="2" borderId="31" xfId="0" applyFont="1" applyFill="1" applyBorder="1" applyAlignment="1">
      <alignment/>
    </xf>
    <xf numFmtId="0" fontId="20" fillId="0" borderId="34" xfId="0" applyFont="1" applyBorder="1" applyAlignment="1">
      <alignment wrapText="1"/>
    </xf>
    <xf numFmtId="2" fontId="20" fillId="0" borderId="35" xfId="0" applyNumberFormat="1" applyFont="1" applyBorder="1" applyAlignment="1">
      <alignment horizontal="right" wrapText="1"/>
    </xf>
    <xf numFmtId="0" fontId="23" fillId="0" borderId="36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2" borderId="23" xfId="0" applyFont="1" applyFill="1" applyBorder="1" applyAlignment="1">
      <alignment wrapText="1"/>
    </xf>
    <xf numFmtId="0" fontId="23" fillId="0" borderId="37" xfId="0" applyFont="1" applyBorder="1" applyAlignment="1">
      <alignment wrapText="1"/>
    </xf>
    <xf numFmtId="2" fontId="20" fillId="0" borderId="37" xfId="0" applyNumberFormat="1" applyFont="1" applyBorder="1" applyAlignment="1">
      <alignment horizontal="right" wrapText="1"/>
    </xf>
    <xf numFmtId="2" fontId="20" fillId="0" borderId="38" xfId="0" applyNumberFormat="1" applyFont="1" applyBorder="1" applyAlignment="1">
      <alignment horizontal="right" wrapText="1"/>
    </xf>
    <xf numFmtId="2" fontId="20" fillId="0" borderId="39" xfId="0" applyNumberFormat="1" applyFont="1" applyBorder="1" applyAlignment="1">
      <alignment horizontal="right" wrapText="1"/>
    </xf>
    <xf numFmtId="2" fontId="20" fillId="0" borderId="40" xfId="0" applyNumberFormat="1" applyFont="1" applyBorder="1" applyAlignment="1">
      <alignment horizontal="right" wrapText="1"/>
    </xf>
    <xf numFmtId="2" fontId="20" fillId="0" borderId="41" xfId="0" applyNumberFormat="1" applyFont="1" applyBorder="1" applyAlignment="1">
      <alignment/>
    </xf>
    <xf numFmtId="2" fontId="20" fillId="0" borderId="30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0" fontId="23" fillId="0" borderId="32" xfId="0" applyFont="1" applyBorder="1" applyAlignment="1">
      <alignment wrapText="1"/>
    </xf>
    <xf numFmtId="2" fontId="20" fillId="0" borderId="30" xfId="0" applyNumberFormat="1" applyFont="1" applyBorder="1" applyAlignment="1">
      <alignment horizontal="right" wrapText="1"/>
    </xf>
    <xf numFmtId="49" fontId="20" fillId="0" borderId="0" xfId="0" applyNumberFormat="1" applyFont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0" fontId="24" fillId="0" borderId="3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/>
    </xf>
    <xf numFmtId="0" fontId="23" fillId="0" borderId="25" xfId="0" applyFont="1" applyBorder="1" applyAlignment="1">
      <alignment wrapText="1"/>
    </xf>
    <xf numFmtId="2" fontId="19" fillId="0" borderId="46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25" fillId="0" borderId="36" xfId="0" applyFont="1" applyBorder="1" applyAlignment="1">
      <alignment/>
    </xf>
    <xf numFmtId="2" fontId="25" fillId="0" borderId="30" xfId="0" applyNumberFormat="1" applyFont="1" applyBorder="1" applyAlignment="1">
      <alignment/>
    </xf>
    <xf numFmtId="2" fontId="25" fillId="0" borderId="46" xfId="0" applyNumberFormat="1" applyFont="1" applyBorder="1" applyAlignment="1">
      <alignment/>
    </xf>
    <xf numFmtId="0" fontId="24" fillId="0" borderId="47" xfId="0" applyFont="1" applyBorder="1" applyAlignment="1">
      <alignment horizontal="center" vertical="center" wrapText="1"/>
    </xf>
    <xf numFmtId="2" fontId="20" fillId="0" borderId="20" xfId="0" applyNumberFormat="1" applyFont="1" applyBorder="1" applyAlignment="1">
      <alignment/>
    </xf>
    <xf numFmtId="2" fontId="20" fillId="0" borderId="48" xfId="0" applyNumberFormat="1" applyFont="1" applyBorder="1" applyAlignment="1">
      <alignment/>
    </xf>
    <xf numFmtId="2" fontId="20" fillId="0" borderId="48" xfId="0" applyNumberFormat="1" applyFont="1" applyBorder="1" applyAlignment="1">
      <alignment horizontal="right" wrapText="1"/>
    </xf>
    <xf numFmtId="2" fontId="20" fillId="0" borderId="49" xfId="0" applyNumberFormat="1" applyFont="1" applyBorder="1" applyAlignment="1">
      <alignment horizontal="right" wrapText="1"/>
    </xf>
    <xf numFmtId="49" fontId="26" fillId="0" borderId="28" xfId="0" applyNumberFormat="1" applyFont="1" applyBorder="1" applyAlignment="1">
      <alignment horizontal="center"/>
    </xf>
    <xf numFmtId="0" fontId="24" fillId="0" borderId="33" xfId="0" applyFont="1" applyBorder="1" applyAlignment="1">
      <alignment wrapText="1"/>
    </xf>
    <xf numFmtId="0" fontId="26" fillId="0" borderId="3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43" xfId="0" applyFont="1" applyBorder="1" applyAlignment="1">
      <alignment/>
    </xf>
    <xf numFmtId="2" fontId="27" fillId="0" borderId="30" xfId="0" applyNumberFormat="1" applyFont="1" applyBorder="1" applyAlignment="1">
      <alignment/>
    </xf>
    <xf numFmtId="0" fontId="21" fillId="0" borderId="0" xfId="0" applyFont="1" applyAlignment="1">
      <alignment/>
    </xf>
    <xf numFmtId="0" fontId="26" fillId="0" borderId="46" xfId="0" applyFont="1" applyBorder="1" applyAlignment="1">
      <alignment wrapText="1"/>
    </xf>
    <xf numFmtId="0" fontId="26" fillId="0" borderId="48" xfId="0" applyFont="1" applyBorder="1" applyAlignment="1">
      <alignment wrapText="1"/>
    </xf>
    <xf numFmtId="0" fontId="26" fillId="0" borderId="50" xfId="0" applyFont="1" applyBorder="1" applyAlignment="1">
      <alignment/>
    </xf>
    <xf numFmtId="0" fontId="26" fillId="0" borderId="48" xfId="0" applyFont="1" applyBorder="1" applyAlignment="1">
      <alignment/>
    </xf>
    <xf numFmtId="2" fontId="26" fillId="0" borderId="50" xfId="0" applyNumberFormat="1" applyFont="1" applyBorder="1" applyAlignment="1">
      <alignment/>
    </xf>
    <xf numFmtId="2" fontId="26" fillId="0" borderId="48" xfId="0" applyNumberFormat="1" applyFont="1" applyBorder="1" applyAlignment="1">
      <alignment/>
    </xf>
    <xf numFmtId="2" fontId="26" fillId="0" borderId="30" xfId="0" applyNumberFormat="1" applyFont="1" applyBorder="1" applyAlignment="1">
      <alignment/>
    </xf>
    <xf numFmtId="2" fontId="26" fillId="0" borderId="42" xfId="0" applyNumberFormat="1" applyFont="1" applyBorder="1" applyAlignment="1">
      <alignment/>
    </xf>
    <xf numFmtId="2" fontId="26" fillId="0" borderId="51" xfId="0" applyNumberFormat="1" applyFont="1" applyBorder="1" applyAlignment="1">
      <alignment/>
    </xf>
    <xf numFmtId="0" fontId="26" fillId="0" borderId="46" xfId="0" applyFont="1" applyBorder="1" applyAlignment="1">
      <alignment/>
    </xf>
    <xf numFmtId="2" fontId="20" fillId="0" borderId="35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B7">
      <selection activeCell="B2" sqref="B2:X2"/>
    </sheetView>
  </sheetViews>
  <sheetFormatPr defaultColWidth="9.00390625" defaultRowHeight="12.75"/>
  <cols>
    <col min="1" max="1" width="4.875" style="23" hidden="1" customWidth="1"/>
    <col min="2" max="2" width="20.625" style="0" customWidth="1"/>
    <col min="3" max="3" width="7.125" style="0" hidden="1" customWidth="1"/>
    <col min="4" max="4" width="8.875" style="0" hidden="1" customWidth="1"/>
    <col min="5" max="6" width="11.875" style="0" hidden="1" customWidth="1"/>
    <col min="7" max="7" width="10.625" style="0" hidden="1" customWidth="1"/>
    <col min="8" max="8" width="10.25390625" style="0" hidden="1" customWidth="1"/>
    <col min="9" max="9" width="11.00390625" style="0" hidden="1" customWidth="1"/>
    <col min="10" max="10" width="9.75390625" style="0" hidden="1" customWidth="1"/>
    <col min="11" max="11" width="10.375" style="0" hidden="1" customWidth="1"/>
    <col min="12" max="12" width="8.625" style="0" customWidth="1"/>
    <col min="13" max="13" width="8.75390625" style="0" customWidth="1"/>
    <col min="14" max="14" width="9.375" style="0" customWidth="1"/>
    <col min="15" max="15" width="9.00390625" style="0" customWidth="1"/>
    <col min="16" max="16" width="8.75390625" style="0" customWidth="1"/>
    <col min="18" max="18" width="8.75390625" style="0" customWidth="1"/>
    <col min="19" max="19" width="8.625" style="0" customWidth="1"/>
    <col min="20" max="20" width="8.75390625" style="0" customWidth="1"/>
    <col min="21" max="21" width="8.625" style="0" customWidth="1"/>
    <col min="22" max="22" width="8.75390625" style="0" customWidth="1"/>
    <col min="23" max="23" width="8.875" style="0" customWidth="1"/>
    <col min="24" max="24" width="8.625" style="0" customWidth="1"/>
    <col min="25" max="25" width="10.375" style="0" bestFit="1" customWidth="1"/>
  </cols>
  <sheetData>
    <row r="1" spans="1:30" ht="12.75" customHeight="1">
      <c r="A1" s="62"/>
      <c r="B1" s="104" t="s">
        <v>79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 customHeight="1">
      <c r="A2" s="62"/>
      <c r="B2" s="104" t="s">
        <v>78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  <c r="W2" s="105"/>
      <c r="X2" s="105"/>
      <c r="Y2" s="4"/>
      <c r="Z2" s="4"/>
      <c r="AA2" s="4"/>
      <c r="AB2" s="4"/>
      <c r="AC2" s="4"/>
      <c r="AD2" s="4"/>
    </row>
    <row r="3" spans="1:30" ht="12.75" customHeight="1">
      <c r="A3" s="62"/>
      <c r="B3" s="103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3"/>
      <c r="AA3" s="3"/>
      <c r="AB3" s="3"/>
      <c r="AC3" s="3"/>
      <c r="AD3" s="3"/>
    </row>
    <row r="4" spans="1:30" ht="12" customHeight="1">
      <c r="A4" s="62"/>
      <c r="B4" s="102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2"/>
      <c r="AA4" s="2"/>
      <c r="AB4" s="2"/>
      <c r="AC4" s="2"/>
      <c r="AD4" s="2"/>
    </row>
    <row r="5" spans="1:30" ht="16.5" customHeight="1" thickBot="1">
      <c r="A5" s="62"/>
      <c r="B5" s="102" t="s">
        <v>45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</row>
    <row r="6" spans="1:30" ht="36" customHeight="1" thickBot="1">
      <c r="A6" s="63" t="s">
        <v>26</v>
      </c>
      <c r="B6" s="64" t="s">
        <v>6</v>
      </c>
      <c r="C6" s="65" t="s">
        <v>42</v>
      </c>
      <c r="D6" s="66" t="s">
        <v>48</v>
      </c>
      <c r="E6" s="66" t="s">
        <v>50</v>
      </c>
      <c r="F6" s="66" t="s">
        <v>56</v>
      </c>
      <c r="G6" s="78" t="s">
        <v>57</v>
      </c>
      <c r="H6" s="66" t="s">
        <v>63</v>
      </c>
      <c r="I6" s="66" t="s">
        <v>67</v>
      </c>
      <c r="J6" s="66" t="s">
        <v>68</v>
      </c>
      <c r="K6" s="66" t="s">
        <v>74</v>
      </c>
      <c r="L6" s="67" t="s">
        <v>10</v>
      </c>
      <c r="M6" s="68" t="s">
        <v>11</v>
      </c>
      <c r="N6" s="68" t="s">
        <v>12</v>
      </c>
      <c r="O6" s="68" t="s">
        <v>13</v>
      </c>
      <c r="P6" s="68" t="s">
        <v>14</v>
      </c>
      <c r="Q6" s="68" t="s">
        <v>15</v>
      </c>
      <c r="R6" s="68" t="s">
        <v>16</v>
      </c>
      <c r="S6" s="68" t="s">
        <v>17</v>
      </c>
      <c r="T6" s="68" t="s">
        <v>18</v>
      </c>
      <c r="U6" s="68" t="s">
        <v>19</v>
      </c>
      <c r="V6" s="68" t="s">
        <v>21</v>
      </c>
      <c r="W6" s="69" t="s">
        <v>20</v>
      </c>
      <c r="X6" s="66" t="s">
        <v>75</v>
      </c>
      <c r="Y6" s="70" t="s">
        <v>76</v>
      </c>
      <c r="Z6" s="1"/>
      <c r="AA6" s="1"/>
      <c r="AB6" s="1"/>
      <c r="AC6" s="1"/>
      <c r="AD6" s="1"/>
    </row>
    <row r="7" spans="1:25" ht="13.5" thickBot="1">
      <c r="A7" s="71" t="s">
        <v>27</v>
      </c>
      <c r="B7" s="72" t="s">
        <v>1</v>
      </c>
      <c r="C7" s="49">
        <v>441705.8</v>
      </c>
      <c r="D7" s="52">
        <v>481870.24</v>
      </c>
      <c r="E7" s="49">
        <v>481614.48</v>
      </c>
      <c r="F7" s="49">
        <v>481741.44</v>
      </c>
      <c r="G7" s="52">
        <v>481709.24</v>
      </c>
      <c r="H7" s="60">
        <v>488170.86</v>
      </c>
      <c r="I7" s="49">
        <v>481609.88</v>
      </c>
      <c r="J7" s="49">
        <v>481433.24</v>
      </c>
      <c r="K7" s="49">
        <v>481360.56</v>
      </c>
      <c r="L7" s="5">
        <v>37486.54</v>
      </c>
      <c r="M7" s="5">
        <v>37486.54</v>
      </c>
      <c r="N7" s="5">
        <v>37488.26</v>
      </c>
      <c r="O7" s="5">
        <v>37471.92</v>
      </c>
      <c r="P7" s="5">
        <v>37471.92</v>
      </c>
      <c r="Q7" s="5">
        <v>37471.92</v>
      </c>
      <c r="R7" s="5">
        <v>37471.92</v>
      </c>
      <c r="S7" s="5">
        <v>37471.92</v>
      </c>
      <c r="T7" s="5">
        <v>37471.92</v>
      </c>
      <c r="U7" s="5">
        <v>37471.92</v>
      </c>
      <c r="V7" s="5">
        <v>37470.2</v>
      </c>
      <c r="W7" s="5">
        <v>37470.2</v>
      </c>
      <c r="X7" s="43">
        <f>SUM(L7:W7)</f>
        <v>449705.17999999993</v>
      </c>
      <c r="Y7" s="75">
        <f>SUM(C7:W7)</f>
        <v>4750920.919999999</v>
      </c>
    </row>
    <row r="8" spans="1:25" ht="13.5" thickBot="1">
      <c r="A8" s="71"/>
      <c r="B8" s="72" t="s">
        <v>69</v>
      </c>
      <c r="C8" s="60"/>
      <c r="D8" s="52"/>
      <c r="E8" s="60"/>
      <c r="F8" s="60"/>
      <c r="G8" s="52"/>
      <c r="H8" s="60"/>
      <c r="I8" s="60"/>
      <c r="J8" s="60">
        <v>49396.29</v>
      </c>
      <c r="K8" s="60">
        <v>32247.06</v>
      </c>
      <c r="L8" s="5">
        <f>191.05+278.55+784.19</f>
        <v>1253.79</v>
      </c>
      <c r="M8" s="5">
        <f>191.05+278.55+784.19</f>
        <v>1253.79</v>
      </c>
      <c r="N8" s="5">
        <f>191.05+278.54+784.22</f>
        <v>1253.81</v>
      </c>
      <c r="O8" s="5">
        <f>191.05+278.54+784.22</f>
        <v>1253.81</v>
      </c>
      <c r="P8" s="5">
        <f>191.05+278.54+784.22</f>
        <v>1253.81</v>
      </c>
      <c r="Q8" s="5">
        <f>191.05+278.54+784.22</f>
        <v>1253.81</v>
      </c>
      <c r="R8" s="6">
        <f>194.51+309.91+806.2</f>
        <v>1310.6200000000001</v>
      </c>
      <c r="S8" s="6">
        <f>194.51+309.91+806.2</f>
        <v>1310.6200000000001</v>
      </c>
      <c r="T8" s="6">
        <f>194.51+309.91+806.2</f>
        <v>1310.6200000000001</v>
      </c>
      <c r="U8" s="6">
        <f>194.51+309.91+806.2</f>
        <v>1310.6200000000001</v>
      </c>
      <c r="V8" s="6">
        <f>194.53+309.9+806.22</f>
        <v>1310.65</v>
      </c>
      <c r="W8" s="6">
        <f>194.53+309.9+806.22</f>
        <v>1310.65</v>
      </c>
      <c r="X8" s="43">
        <f>SUM(L8:W8)</f>
        <v>15386.600000000002</v>
      </c>
      <c r="Y8" s="75">
        <f>SUM(C8:W8)</f>
        <v>97029.94999999995</v>
      </c>
    </row>
    <row r="9" spans="1:25" s="90" customFormat="1" ht="13.5" thickBot="1">
      <c r="A9" s="83" t="s">
        <v>28</v>
      </c>
      <c r="B9" s="84" t="s">
        <v>2</v>
      </c>
      <c r="C9" s="85">
        <f aca="true" t="shared" si="0" ref="C9:L9">SUM(C10:C25)</f>
        <v>331098.59</v>
      </c>
      <c r="D9" s="86">
        <f t="shared" si="0"/>
        <v>460169.16</v>
      </c>
      <c r="E9" s="85">
        <f t="shared" si="0"/>
        <v>581996.46</v>
      </c>
      <c r="F9" s="85">
        <f t="shared" si="0"/>
        <v>552495.65</v>
      </c>
      <c r="G9" s="87">
        <f t="shared" si="0"/>
        <v>507936.18000000005</v>
      </c>
      <c r="H9" s="85">
        <f>SUM(H10:H25)</f>
        <v>599375.03</v>
      </c>
      <c r="I9" s="85">
        <f>SUM(I10:I25)</f>
        <v>581846.23</v>
      </c>
      <c r="J9" s="85">
        <f>SUM(J10:J25)</f>
        <v>631114.0900000001</v>
      </c>
      <c r="K9" s="85">
        <f t="shared" si="0"/>
        <v>634391.9</v>
      </c>
      <c r="L9" s="88">
        <f t="shared" si="0"/>
        <v>44825.10999999999</v>
      </c>
      <c r="M9" s="88">
        <f aca="true" t="shared" si="1" ref="M9:W9">SUM(M10:M25)</f>
        <v>44627.15</v>
      </c>
      <c r="N9" s="88">
        <f t="shared" si="1"/>
        <v>38902.26</v>
      </c>
      <c r="O9" s="88">
        <f t="shared" si="1"/>
        <v>51167.5</v>
      </c>
      <c r="P9" s="88">
        <f t="shared" si="1"/>
        <v>43011.62</v>
      </c>
      <c r="Q9" s="88">
        <f t="shared" si="1"/>
        <v>47294.16999999999</v>
      </c>
      <c r="R9" s="88">
        <f t="shared" si="1"/>
        <v>43014.18</v>
      </c>
      <c r="S9" s="88">
        <f t="shared" si="1"/>
        <v>39531.119999999995</v>
      </c>
      <c r="T9" s="88">
        <f t="shared" si="1"/>
        <v>39527.88</v>
      </c>
      <c r="U9" s="88">
        <f t="shared" si="1"/>
        <v>43182.28</v>
      </c>
      <c r="V9" s="88">
        <f t="shared" si="1"/>
        <v>40804.24</v>
      </c>
      <c r="W9" s="86">
        <f t="shared" si="1"/>
        <v>41625.9</v>
      </c>
      <c r="X9" s="85">
        <f>SUM(L9:W9)</f>
        <v>517513.41000000003</v>
      </c>
      <c r="Y9" s="89">
        <f>SUM(C9:W9)</f>
        <v>5397936.700000002</v>
      </c>
    </row>
    <row r="10" spans="1:25" ht="15.75" customHeight="1" thickBot="1">
      <c r="A10" s="71" t="s">
        <v>29</v>
      </c>
      <c r="B10" s="25" t="s">
        <v>77</v>
      </c>
      <c r="C10" s="35">
        <v>71229.05</v>
      </c>
      <c r="D10" s="53">
        <v>86415.88</v>
      </c>
      <c r="E10" s="35">
        <v>90692.39</v>
      </c>
      <c r="F10" s="35">
        <v>104258.21</v>
      </c>
      <c r="G10" s="53">
        <v>112556.11</v>
      </c>
      <c r="H10" s="35">
        <v>107455.17</v>
      </c>
      <c r="I10" s="35">
        <v>110411.5</v>
      </c>
      <c r="J10" s="35">
        <v>109708.42</v>
      </c>
      <c r="K10" s="35">
        <v>106842.66</v>
      </c>
      <c r="L10" s="5"/>
      <c r="M10" s="6"/>
      <c r="N10" s="6"/>
      <c r="O10" s="6">
        <v>204.84</v>
      </c>
      <c r="P10" s="6">
        <v>156.51</v>
      </c>
      <c r="Q10" s="6">
        <v>65.94</v>
      </c>
      <c r="R10" s="6">
        <v>173.75</v>
      </c>
      <c r="S10" s="6">
        <v>128.35</v>
      </c>
      <c r="T10" s="6">
        <v>32.55</v>
      </c>
      <c r="U10" s="6">
        <v>119.1</v>
      </c>
      <c r="V10" s="6">
        <v>99.73</v>
      </c>
      <c r="W10" s="13">
        <v>67.94</v>
      </c>
      <c r="X10" s="44">
        <f>SUM(L10:W10)</f>
        <v>1048.71</v>
      </c>
      <c r="Y10" s="76">
        <f aca="true" t="shared" si="2" ref="Y10:Y25">SUM(C10:W10)</f>
        <v>900618.1</v>
      </c>
    </row>
    <row r="11" spans="1:25" ht="12" customHeight="1" thickBot="1">
      <c r="A11" s="71" t="s">
        <v>30</v>
      </c>
      <c r="B11" s="26" t="s">
        <v>59</v>
      </c>
      <c r="C11" s="36">
        <v>98164.22</v>
      </c>
      <c r="D11" s="54">
        <v>39109.66</v>
      </c>
      <c r="E11" s="36">
        <f>2322.59+9150.4</f>
        <v>11472.99</v>
      </c>
      <c r="F11" s="36">
        <f>6306.49+15517.16</f>
        <v>21823.65</v>
      </c>
      <c r="G11" s="54">
        <v>5163.01</v>
      </c>
      <c r="H11" s="36">
        <v>11942.55</v>
      </c>
      <c r="I11" s="36">
        <v>12338.05</v>
      </c>
      <c r="J11" s="36">
        <v>31850.94</v>
      </c>
      <c r="K11" s="36">
        <v>12256.02</v>
      </c>
      <c r="L11" s="7"/>
      <c r="M11" s="8"/>
      <c r="N11" s="8"/>
      <c r="O11" s="8"/>
      <c r="P11" s="8">
        <v>1750</v>
      </c>
      <c r="Q11" s="8"/>
      <c r="R11" s="8"/>
      <c r="S11" s="8"/>
      <c r="T11" s="8"/>
      <c r="U11" s="8"/>
      <c r="V11" s="8"/>
      <c r="W11" s="14"/>
      <c r="X11" s="44">
        <f aca="true" t="shared" si="3" ref="X11:X27">SUM(L11:W11)</f>
        <v>1750</v>
      </c>
      <c r="Y11" s="76">
        <f>SUM(C11:W11)</f>
        <v>245871.08999999997</v>
      </c>
    </row>
    <row r="12" spans="1:25" ht="12.75" customHeight="1" thickBot="1">
      <c r="A12" s="71" t="s">
        <v>31</v>
      </c>
      <c r="B12" s="24" t="s">
        <v>4</v>
      </c>
      <c r="C12" s="36">
        <v>0</v>
      </c>
      <c r="D12" s="54">
        <v>5407.23</v>
      </c>
      <c r="E12" s="36">
        <v>0</v>
      </c>
      <c r="F12" s="36">
        <v>0</v>
      </c>
      <c r="G12" s="54"/>
      <c r="H12" s="36">
        <v>16086.5</v>
      </c>
      <c r="I12" s="36">
        <v>0</v>
      </c>
      <c r="J12" s="36">
        <v>0</v>
      </c>
      <c r="K12" s="36">
        <v>20577.05</v>
      </c>
      <c r="L12" s="7"/>
      <c r="M12" s="8"/>
      <c r="N12" s="8"/>
      <c r="O12" s="8">
        <v>10591.4</v>
      </c>
      <c r="P12" s="8"/>
      <c r="Q12" s="8"/>
      <c r="R12" s="8"/>
      <c r="S12" s="8"/>
      <c r="T12" s="8"/>
      <c r="U12" s="8"/>
      <c r="V12" s="8"/>
      <c r="W12" s="14"/>
      <c r="X12" s="44">
        <f t="shared" si="3"/>
        <v>10591.4</v>
      </c>
      <c r="Y12" s="76">
        <f t="shared" si="2"/>
        <v>52662.18</v>
      </c>
    </row>
    <row r="13" spans="1:25" ht="14.25" customHeight="1" thickBot="1">
      <c r="A13" s="71" t="s">
        <v>32</v>
      </c>
      <c r="B13" s="26" t="s">
        <v>51</v>
      </c>
      <c r="C13" s="36">
        <v>9286.12</v>
      </c>
      <c r="D13" s="54">
        <v>38668.99</v>
      </c>
      <c r="E13" s="36">
        <v>115681.09</v>
      </c>
      <c r="F13" s="36">
        <v>48034.04</v>
      </c>
      <c r="G13" s="54">
        <v>10875.8</v>
      </c>
      <c r="H13" s="36">
        <v>45491.89</v>
      </c>
      <c r="I13" s="36">
        <v>41358.11</v>
      </c>
      <c r="J13" s="36">
        <v>19705.91</v>
      </c>
      <c r="K13" s="36">
        <v>21634.54</v>
      </c>
      <c r="L13" s="7">
        <v>2260.65</v>
      </c>
      <c r="M13" s="8">
        <v>4522.4</v>
      </c>
      <c r="N13" s="8">
        <v>234</v>
      </c>
      <c r="O13" s="8">
        <v>192</v>
      </c>
      <c r="P13" s="8">
        <v>1054.64</v>
      </c>
      <c r="Q13" s="6">
        <v>8131.06</v>
      </c>
      <c r="R13" s="8">
        <v>105</v>
      </c>
      <c r="S13" s="8">
        <v>385</v>
      </c>
      <c r="T13" s="8">
        <v>1202.13</v>
      </c>
      <c r="U13" s="8">
        <v>156</v>
      </c>
      <c r="V13" s="8">
        <v>33</v>
      </c>
      <c r="W13" s="14"/>
      <c r="X13" s="44">
        <f t="shared" si="3"/>
        <v>18275.88</v>
      </c>
      <c r="Y13" s="76">
        <f t="shared" si="2"/>
        <v>369012.37</v>
      </c>
    </row>
    <row r="14" spans="1:25" ht="22.5" customHeight="1" thickBot="1">
      <c r="A14" s="71" t="s">
        <v>64</v>
      </c>
      <c r="B14" s="26" t="s">
        <v>60</v>
      </c>
      <c r="C14" s="36"/>
      <c r="D14" s="54"/>
      <c r="E14" s="36"/>
      <c r="F14" s="36"/>
      <c r="G14" s="54"/>
      <c r="H14" s="36">
        <v>3200</v>
      </c>
      <c r="I14" s="36">
        <v>7000</v>
      </c>
      <c r="J14" s="36">
        <v>3900</v>
      </c>
      <c r="K14" s="36">
        <v>3400</v>
      </c>
      <c r="L14" s="7"/>
      <c r="M14" s="8"/>
      <c r="N14" s="8"/>
      <c r="O14" s="8"/>
      <c r="P14" s="8"/>
      <c r="Q14" s="8"/>
      <c r="R14" s="8">
        <v>3100</v>
      </c>
      <c r="S14" s="8"/>
      <c r="T14" s="8"/>
      <c r="U14" s="8"/>
      <c r="V14" s="8"/>
      <c r="W14" s="14"/>
      <c r="X14" s="44">
        <f>SUM(L14:W14)</f>
        <v>3100</v>
      </c>
      <c r="Y14" s="76">
        <f>SUM(C14:W14)</f>
        <v>20600</v>
      </c>
    </row>
    <row r="15" spans="1:25" ht="22.5" customHeight="1" thickBot="1">
      <c r="A15" s="71" t="s">
        <v>33</v>
      </c>
      <c r="B15" s="26" t="s">
        <v>46</v>
      </c>
      <c r="C15" s="36">
        <v>0</v>
      </c>
      <c r="D15" s="54">
        <v>4392.18</v>
      </c>
      <c r="E15" s="36">
        <v>256</v>
      </c>
      <c r="F15" s="36">
        <v>0</v>
      </c>
      <c r="G15" s="54">
        <v>87.25</v>
      </c>
      <c r="H15" s="36">
        <v>1800</v>
      </c>
      <c r="I15" s="36">
        <v>186</v>
      </c>
      <c r="J15" s="36">
        <v>935.82</v>
      </c>
      <c r="K15" s="36">
        <v>92</v>
      </c>
      <c r="L15" s="7">
        <v>326.85</v>
      </c>
      <c r="M15" s="8">
        <v>168.02</v>
      </c>
      <c r="N15" s="8"/>
      <c r="O15" s="8"/>
      <c r="P15" s="8"/>
      <c r="Q15" s="8"/>
      <c r="R15" s="8"/>
      <c r="S15" s="8"/>
      <c r="T15" s="8"/>
      <c r="U15" s="8"/>
      <c r="V15" s="8"/>
      <c r="W15" s="14"/>
      <c r="X15" s="44">
        <f t="shared" si="3"/>
        <v>494.87</v>
      </c>
      <c r="Y15" s="76">
        <f t="shared" si="2"/>
        <v>8244.12</v>
      </c>
    </row>
    <row r="16" spans="1:25" ht="12" customHeight="1" thickBot="1">
      <c r="A16" s="71" t="s">
        <v>34</v>
      </c>
      <c r="B16" s="26" t="s">
        <v>70</v>
      </c>
      <c r="C16" s="36">
        <v>17717.12</v>
      </c>
      <c r="D16" s="54">
        <v>23549</v>
      </c>
      <c r="E16" s="36">
        <v>15310.68</v>
      </c>
      <c r="F16" s="36">
        <v>0</v>
      </c>
      <c r="G16" s="54"/>
      <c r="H16" s="36">
        <v>0</v>
      </c>
      <c r="I16" s="36">
        <v>0</v>
      </c>
      <c r="J16" s="36">
        <v>34499.18</v>
      </c>
      <c r="K16" s="36">
        <v>17335.26</v>
      </c>
      <c r="L16" s="7"/>
      <c r="M16" s="7"/>
      <c r="N16" s="7"/>
      <c r="O16" s="7"/>
      <c r="P16" s="7"/>
      <c r="Q16" s="7"/>
      <c r="R16" s="8"/>
      <c r="S16" s="8"/>
      <c r="T16" s="8"/>
      <c r="U16" s="8"/>
      <c r="V16" s="8"/>
      <c r="W16" s="14"/>
      <c r="X16" s="44">
        <f t="shared" si="3"/>
        <v>0</v>
      </c>
      <c r="Y16" s="76">
        <f t="shared" si="2"/>
        <v>108411.23999999999</v>
      </c>
    </row>
    <row r="17" spans="1:25" ht="12" customHeight="1" thickBot="1">
      <c r="A17" s="71"/>
      <c r="B17" s="26" t="s">
        <v>72</v>
      </c>
      <c r="C17" s="36"/>
      <c r="D17" s="54"/>
      <c r="E17" s="36"/>
      <c r="F17" s="36"/>
      <c r="G17" s="54"/>
      <c r="H17" s="36"/>
      <c r="I17" s="36"/>
      <c r="J17" s="36">
        <v>2212.46</v>
      </c>
      <c r="K17" s="36">
        <v>2285.58</v>
      </c>
      <c r="L17" s="7">
        <v>191.05</v>
      </c>
      <c r="M17" s="7">
        <v>191.05</v>
      </c>
      <c r="N17" s="7">
        <v>191.05</v>
      </c>
      <c r="O17" s="7">
        <v>191.05</v>
      </c>
      <c r="P17" s="7">
        <v>191.05</v>
      </c>
      <c r="Q17" s="7">
        <v>191.05</v>
      </c>
      <c r="R17" s="7">
        <v>191.05</v>
      </c>
      <c r="S17" s="8">
        <v>198.05</v>
      </c>
      <c r="T17" s="8">
        <v>194.55</v>
      </c>
      <c r="U17" s="8">
        <v>194.55</v>
      </c>
      <c r="V17" s="8">
        <v>194.55</v>
      </c>
      <c r="W17" s="8">
        <v>194.55</v>
      </c>
      <c r="X17" s="44">
        <f>SUM(L17:W17)</f>
        <v>2313.6</v>
      </c>
      <c r="Y17" s="76">
        <f>SUM(C17:W17)</f>
        <v>6811.640000000002</v>
      </c>
    </row>
    <row r="18" spans="1:25" ht="12" customHeight="1" thickBot="1">
      <c r="A18" s="71"/>
      <c r="B18" s="26" t="s">
        <v>71</v>
      </c>
      <c r="C18" s="36"/>
      <c r="D18" s="54"/>
      <c r="E18" s="36"/>
      <c r="F18" s="36"/>
      <c r="G18" s="54"/>
      <c r="H18" s="36"/>
      <c r="I18" s="36"/>
      <c r="J18" s="36">
        <v>10757.82</v>
      </c>
      <c r="K18" s="36">
        <v>9297.42</v>
      </c>
      <c r="L18" s="7">
        <v>784.15</v>
      </c>
      <c r="M18" s="7">
        <v>784.15</v>
      </c>
      <c r="N18" s="7">
        <v>784.15</v>
      </c>
      <c r="O18" s="7">
        <v>784.15</v>
      </c>
      <c r="P18" s="7">
        <v>784.15</v>
      </c>
      <c r="Q18" s="7">
        <v>784.15</v>
      </c>
      <c r="R18" s="7">
        <v>806.2</v>
      </c>
      <c r="S18" s="8">
        <v>806.2</v>
      </c>
      <c r="T18" s="8">
        <v>806.2</v>
      </c>
      <c r="U18" s="8">
        <v>806.2</v>
      </c>
      <c r="V18" s="8">
        <v>806.2</v>
      </c>
      <c r="W18" s="8">
        <v>806.2</v>
      </c>
      <c r="X18" s="44">
        <f>SUM(L18:W18)</f>
        <v>9542.1</v>
      </c>
      <c r="Y18" s="76">
        <f>SUM(C18:W18)</f>
        <v>29597.34000000001</v>
      </c>
    </row>
    <row r="19" spans="1:25" ht="12" customHeight="1" thickBot="1">
      <c r="A19" s="71"/>
      <c r="B19" s="26" t="s">
        <v>73</v>
      </c>
      <c r="C19" s="36"/>
      <c r="D19" s="54"/>
      <c r="E19" s="36"/>
      <c r="F19" s="36"/>
      <c r="G19" s="54"/>
      <c r="H19" s="36"/>
      <c r="I19" s="36"/>
      <c r="J19" s="36">
        <v>1926.75</v>
      </c>
      <c r="K19" s="36">
        <v>3328.38</v>
      </c>
      <c r="L19" s="7">
        <v>278.55</v>
      </c>
      <c r="M19" s="7">
        <v>278.55</v>
      </c>
      <c r="N19" s="7">
        <v>278.55</v>
      </c>
      <c r="O19" s="7">
        <v>278.55</v>
      </c>
      <c r="P19" s="7">
        <v>278.55</v>
      </c>
      <c r="Q19" s="7">
        <v>278.55</v>
      </c>
      <c r="R19" s="7">
        <v>278.55</v>
      </c>
      <c r="S19" s="8">
        <v>309.93</v>
      </c>
      <c r="T19" s="8">
        <v>309.93</v>
      </c>
      <c r="U19" s="8">
        <v>309.93</v>
      </c>
      <c r="V19" s="8">
        <v>309.93</v>
      </c>
      <c r="W19" s="8">
        <v>309.93</v>
      </c>
      <c r="X19" s="44">
        <f>SUM(L19:W19)</f>
        <v>3499.499999999999</v>
      </c>
      <c r="Y19" s="76">
        <f>SUM(C19:W19)</f>
        <v>8754.630000000003</v>
      </c>
    </row>
    <row r="20" spans="1:25" ht="12.75" customHeight="1" thickBot="1">
      <c r="A20" s="71" t="s">
        <v>35</v>
      </c>
      <c r="B20" s="26" t="s">
        <v>5</v>
      </c>
      <c r="C20" s="36">
        <v>1948.83</v>
      </c>
      <c r="D20" s="54">
        <v>1271.52</v>
      </c>
      <c r="E20" s="36">
        <v>1154.98</v>
      </c>
      <c r="F20" s="36">
        <v>1147.34</v>
      </c>
      <c r="G20" s="54">
        <v>1242.88</v>
      </c>
      <c r="H20" s="36">
        <v>1284.5</v>
      </c>
      <c r="I20" s="36">
        <v>979.52</v>
      </c>
      <c r="J20" s="36">
        <v>1625.6</v>
      </c>
      <c r="K20" s="36">
        <v>1098.18</v>
      </c>
      <c r="L20" s="7"/>
      <c r="M20" s="8"/>
      <c r="N20" s="8">
        <v>381.93</v>
      </c>
      <c r="O20" s="8"/>
      <c r="P20" s="8">
        <v>361.78</v>
      </c>
      <c r="Q20" s="8"/>
      <c r="R20" s="8"/>
      <c r="S20" s="8"/>
      <c r="T20" s="8">
        <v>381.93</v>
      </c>
      <c r="U20" s="8"/>
      <c r="V20" s="8">
        <v>422.11</v>
      </c>
      <c r="W20" s="14"/>
      <c r="X20" s="44">
        <f t="shared" si="3"/>
        <v>1547.75</v>
      </c>
      <c r="Y20" s="76">
        <f t="shared" si="2"/>
        <v>13301.100000000002</v>
      </c>
    </row>
    <row r="21" spans="1:25" ht="32.25" customHeight="1" thickBot="1">
      <c r="A21" s="71" t="s">
        <v>36</v>
      </c>
      <c r="B21" s="26" t="s">
        <v>61</v>
      </c>
      <c r="C21" s="36">
        <v>5944.56</v>
      </c>
      <c r="D21" s="54">
        <v>21192.33</v>
      </c>
      <c r="E21" s="36">
        <v>27299.46</v>
      </c>
      <c r="F21" s="36">
        <v>25649.88</v>
      </c>
      <c r="G21" s="54">
        <v>17780.02</v>
      </c>
      <c r="H21" s="36">
        <v>20972.72</v>
      </c>
      <c r="I21" s="36">
        <v>22170.19</v>
      </c>
      <c r="J21" s="36">
        <v>22516.21</v>
      </c>
      <c r="K21" s="36">
        <v>23657.98</v>
      </c>
      <c r="L21" s="7">
        <v>1905.09</v>
      </c>
      <c r="M21" s="8">
        <v>1996.98</v>
      </c>
      <c r="N21" s="8">
        <v>1585.69</v>
      </c>
      <c r="O21" s="8">
        <v>1898.27</v>
      </c>
      <c r="P21" s="8">
        <v>1579.17</v>
      </c>
      <c r="Q21" s="8">
        <v>1210.81</v>
      </c>
      <c r="R21" s="8">
        <v>1265.52</v>
      </c>
      <c r="S21" s="8">
        <v>1072.62</v>
      </c>
      <c r="T21" s="8">
        <v>1206.07</v>
      </c>
      <c r="U21" s="8">
        <v>2497.54</v>
      </c>
      <c r="V21" s="8">
        <v>1579.17</v>
      </c>
      <c r="W21" s="14">
        <v>1343.56</v>
      </c>
      <c r="X21" s="44">
        <f t="shared" si="3"/>
        <v>19140.49</v>
      </c>
      <c r="Y21" s="76">
        <f t="shared" si="2"/>
        <v>206323.84000000003</v>
      </c>
    </row>
    <row r="22" spans="1:25" ht="24.75" customHeight="1" thickBot="1">
      <c r="A22" s="71" t="s">
        <v>37</v>
      </c>
      <c r="B22" s="26" t="s">
        <v>62</v>
      </c>
      <c r="C22" s="36">
        <v>10507.93</v>
      </c>
      <c r="D22" s="54">
        <v>12087.95</v>
      </c>
      <c r="E22" s="36">
        <v>3458.83</v>
      </c>
      <c r="F22" s="36">
        <v>2459.43</v>
      </c>
      <c r="G22" s="54">
        <v>5350.54</v>
      </c>
      <c r="H22" s="36">
        <v>3614.47</v>
      </c>
      <c r="I22" s="36">
        <v>3153.92</v>
      </c>
      <c r="J22" s="36">
        <v>2462.91</v>
      </c>
      <c r="K22" s="36">
        <v>2386.55</v>
      </c>
      <c r="L22" s="7">
        <v>150.73</v>
      </c>
      <c r="M22" s="8">
        <v>129.96</v>
      </c>
      <c r="N22" s="8">
        <v>113.26</v>
      </c>
      <c r="O22" s="8">
        <v>131.72</v>
      </c>
      <c r="P22" s="8">
        <v>13.91</v>
      </c>
      <c r="Q22" s="8">
        <v>197.43</v>
      </c>
      <c r="R22" s="8">
        <v>221.42</v>
      </c>
      <c r="S22" s="8">
        <v>257.9</v>
      </c>
      <c r="T22" s="8">
        <v>383.3</v>
      </c>
      <c r="U22" s="8">
        <v>94.78</v>
      </c>
      <c r="V22" s="8">
        <v>349.8</v>
      </c>
      <c r="W22" s="14">
        <v>123.11</v>
      </c>
      <c r="X22" s="44">
        <f t="shared" si="3"/>
        <v>2167.3199999999997</v>
      </c>
      <c r="Y22" s="76">
        <f t="shared" si="2"/>
        <v>47649.85000000001</v>
      </c>
    </row>
    <row r="23" spans="1:25" ht="33.75" customHeight="1" thickBot="1">
      <c r="A23" s="71" t="s">
        <v>52</v>
      </c>
      <c r="B23" s="26" t="s">
        <v>66</v>
      </c>
      <c r="C23" s="36">
        <v>6753.47</v>
      </c>
      <c r="D23" s="54">
        <v>19497.77</v>
      </c>
      <c r="E23" s="36">
        <v>17978.97</v>
      </c>
      <c r="F23" s="36">
        <v>22940.58</v>
      </c>
      <c r="G23" s="54">
        <v>20740.06</v>
      </c>
      <c r="H23" s="36">
        <v>26870</v>
      </c>
      <c r="I23" s="36">
        <v>23020.55</v>
      </c>
      <c r="J23" s="36">
        <v>24290.76</v>
      </c>
      <c r="K23" s="36">
        <v>26619.54</v>
      </c>
      <c r="L23" s="7">
        <f>94.09+911.61+1122.87</f>
        <v>2128.5699999999997</v>
      </c>
      <c r="M23" s="8">
        <f>88.68+1270.13+1088.51</f>
        <v>2447.32</v>
      </c>
      <c r="N23" s="8">
        <f>1135.29+77.13+846.86</f>
        <v>2059.28</v>
      </c>
      <c r="O23" s="8">
        <f>82.45+935.9+3007.11</f>
        <v>4025.46</v>
      </c>
      <c r="P23" s="8">
        <f>80.48+1033.4+815</f>
        <v>1928.88</v>
      </c>
      <c r="Q23" s="8">
        <f>93.54+719.23+1443.07</f>
        <v>2255.84</v>
      </c>
      <c r="R23" s="8">
        <f>89.93+1218.17+657.22</f>
        <v>1965.3200000000002</v>
      </c>
      <c r="S23" s="8">
        <f>82.39+748.82+1047.89</f>
        <v>1879.1000000000001</v>
      </c>
      <c r="T23" s="8">
        <f>59.96+665.97+953.98</f>
        <v>1679.91</v>
      </c>
      <c r="U23" s="8">
        <f>60.78+1066.82+2710.73</f>
        <v>3838.33</v>
      </c>
      <c r="V23" s="8">
        <f>67.18+670.79+698.13</f>
        <v>1436.1</v>
      </c>
      <c r="W23" s="14">
        <f>67.03+2028.68+1171.81</f>
        <v>3267.52</v>
      </c>
      <c r="X23" s="44">
        <f t="shared" si="3"/>
        <v>28911.63</v>
      </c>
      <c r="Y23" s="76">
        <f t="shared" si="2"/>
        <v>217623.33000000002</v>
      </c>
    </row>
    <row r="24" spans="1:25" ht="12.75" customHeight="1" thickBot="1">
      <c r="A24" s="71" t="s">
        <v>53</v>
      </c>
      <c r="B24" s="26" t="s">
        <v>8</v>
      </c>
      <c r="C24" s="36">
        <v>94810.84</v>
      </c>
      <c r="D24" s="54">
        <v>179176.07</v>
      </c>
      <c r="E24" s="36">
        <v>225834.89</v>
      </c>
      <c r="F24" s="36">
        <v>239549.13</v>
      </c>
      <c r="G24" s="54">
        <v>243925.11</v>
      </c>
      <c r="H24" s="36">
        <v>267040.68</v>
      </c>
      <c r="I24" s="36">
        <v>257380.1</v>
      </c>
      <c r="J24" s="36">
        <v>258028.76</v>
      </c>
      <c r="K24" s="36">
        <v>277171.66</v>
      </c>
      <c r="L24" s="7">
        <f>44825.11-19069.38</f>
        <v>25755.73</v>
      </c>
      <c r="M24" s="8">
        <f>44627.15-20526.18</f>
        <v>24100.97</v>
      </c>
      <c r="N24" s="8">
        <f>38902.26-14650.33</f>
        <v>24251.93</v>
      </c>
      <c r="O24" s="8">
        <f>51167.5-26813.52</f>
        <v>24353.98</v>
      </c>
      <c r="P24" s="8">
        <f>43011.62-17456.35</f>
        <v>25555.270000000004</v>
      </c>
      <c r="Q24" s="8">
        <f>47294.17-22299.32</f>
        <v>24994.85</v>
      </c>
      <c r="R24" s="8">
        <f>43014.18-17022.87</f>
        <v>25991.31</v>
      </c>
      <c r="S24" s="8">
        <f>39531.2-14535.44-0.08</f>
        <v>24995.679999999993</v>
      </c>
      <c r="T24" s="8">
        <f>39527.88-15262.42</f>
        <v>24265.46</v>
      </c>
      <c r="U24" s="8">
        <f>43182.28-17345.14</f>
        <v>25837.14</v>
      </c>
      <c r="V24" s="8">
        <f>40804.24-14885.61</f>
        <v>25918.629999999997</v>
      </c>
      <c r="W24" s="14">
        <f>41625.9-15936.47</f>
        <v>25689.43</v>
      </c>
      <c r="X24" s="44">
        <f t="shared" si="3"/>
        <v>301710.38</v>
      </c>
      <c r="Y24" s="76">
        <f>SUM(C24:W24)</f>
        <v>2344627.6200000006</v>
      </c>
    </row>
    <row r="25" spans="1:25" ht="13.5" customHeight="1" thickBot="1">
      <c r="A25" s="71" t="s">
        <v>55</v>
      </c>
      <c r="B25" s="27" t="s">
        <v>3</v>
      </c>
      <c r="C25" s="37">
        <v>14736.45</v>
      </c>
      <c r="D25" s="55">
        <v>29400.58</v>
      </c>
      <c r="E25" s="37">
        <v>72856.18</v>
      </c>
      <c r="F25" s="37">
        <v>86633.39</v>
      </c>
      <c r="G25" s="55">
        <v>90215.4</v>
      </c>
      <c r="H25" s="36">
        <v>93616.55</v>
      </c>
      <c r="I25" s="82">
        <v>103848.29</v>
      </c>
      <c r="J25" s="82">
        <v>106692.55</v>
      </c>
      <c r="K25" s="82">
        <v>106409.08</v>
      </c>
      <c r="L25" s="9">
        <f>9137.5+74.44+1831.8</f>
        <v>11043.74</v>
      </c>
      <c r="M25" s="10">
        <f>8440+48.09+1519.66</f>
        <v>10007.75</v>
      </c>
      <c r="N25" s="10">
        <f>76.8+7521.1+44.88+1379.64</f>
        <v>9022.42</v>
      </c>
      <c r="O25" s="10">
        <f>7188.1+42.96+1285.02</f>
        <v>8516.08</v>
      </c>
      <c r="P25" s="10">
        <f>7869.7+47.81+1440.2</f>
        <v>9357.710000000001</v>
      </c>
      <c r="Q25" s="10">
        <f>9+7731.4+45.71+1398.38</f>
        <v>9184.49</v>
      </c>
      <c r="R25" s="10">
        <f>7495.9+45.91+1374.25</f>
        <v>8916.06</v>
      </c>
      <c r="S25" s="10">
        <f>3.6+8021.6+49.66+1423.43</f>
        <v>9498.29</v>
      </c>
      <c r="T25" s="10">
        <f>38.4+7620.9+47.02+1359.53</f>
        <v>9065.85</v>
      </c>
      <c r="U25" s="10">
        <f>7530+61.78+1736.93</f>
        <v>9328.71</v>
      </c>
      <c r="V25" s="10">
        <f>8125.7+47.85+1481.47</f>
        <v>9655.02</v>
      </c>
      <c r="W25" s="16">
        <f>8320.1+49.11+1454.45</f>
        <v>9823.660000000002</v>
      </c>
      <c r="X25" s="44">
        <f t="shared" si="3"/>
        <v>113419.78000000001</v>
      </c>
      <c r="Y25" s="76">
        <f t="shared" si="2"/>
        <v>817828.25</v>
      </c>
    </row>
    <row r="26" spans="1:25" ht="13.5" customHeight="1" thickBot="1">
      <c r="A26" s="71"/>
      <c r="B26" s="32" t="s">
        <v>58</v>
      </c>
      <c r="C26" s="61"/>
      <c r="D26" s="61"/>
      <c r="E26" s="61"/>
      <c r="F26" s="61"/>
      <c r="G26" s="79">
        <f>G7*5%</f>
        <v>24085.462</v>
      </c>
      <c r="H26" s="58">
        <f>H7*5%</f>
        <v>24408.543</v>
      </c>
      <c r="I26" s="58">
        <f>I7*5%</f>
        <v>24080.494000000002</v>
      </c>
      <c r="J26" s="58">
        <f>J7*5%</f>
        <v>24071.662</v>
      </c>
      <c r="K26" s="101">
        <f>K7*5%</f>
        <v>24068.028000000002</v>
      </c>
      <c r="L26" s="57">
        <f>(L7+L8)*5%</f>
        <v>1937.0165000000002</v>
      </c>
      <c r="M26" s="57">
        <f aca="true" t="shared" si="4" ref="M26:W26">(M7+M8)*5%</f>
        <v>1937.0165000000002</v>
      </c>
      <c r="N26" s="57">
        <f t="shared" si="4"/>
        <v>1937.1035000000002</v>
      </c>
      <c r="O26" s="57">
        <f t="shared" si="4"/>
        <v>1936.2865</v>
      </c>
      <c r="P26" s="57">
        <f t="shared" si="4"/>
        <v>1936.2865</v>
      </c>
      <c r="Q26" s="57">
        <f t="shared" si="4"/>
        <v>1936.2865</v>
      </c>
      <c r="R26" s="57">
        <f t="shared" si="4"/>
        <v>1939.1270000000002</v>
      </c>
      <c r="S26" s="57">
        <f t="shared" si="4"/>
        <v>1939.1270000000002</v>
      </c>
      <c r="T26" s="57">
        <f t="shared" si="4"/>
        <v>1939.1270000000002</v>
      </c>
      <c r="U26" s="57">
        <f t="shared" si="4"/>
        <v>1939.1270000000002</v>
      </c>
      <c r="V26" s="57">
        <f t="shared" si="4"/>
        <v>1939.0425</v>
      </c>
      <c r="W26" s="57">
        <f t="shared" si="4"/>
        <v>1939.0425</v>
      </c>
      <c r="X26" s="58">
        <f t="shared" si="3"/>
        <v>23254.589</v>
      </c>
      <c r="Y26" s="77"/>
    </row>
    <row r="27" spans="1:25" ht="12.75" customHeight="1" thickBot="1">
      <c r="A27" s="71" t="s">
        <v>54</v>
      </c>
      <c r="B27" s="47" t="s">
        <v>49</v>
      </c>
      <c r="C27" s="48"/>
      <c r="D27" s="56"/>
      <c r="E27" s="48"/>
      <c r="F27" s="48"/>
      <c r="G27" s="56"/>
      <c r="H27" s="81"/>
      <c r="I27" s="81"/>
      <c r="J27" s="80">
        <f aca="true" t="shared" si="5" ref="J27:W27">SUM(J7+J8-J9)-J26</f>
        <v>-124356.22200000005</v>
      </c>
      <c r="K27" s="80">
        <f>SUM(K7+K8-K9)-K26</f>
        <v>-144852.30800000002</v>
      </c>
      <c r="L27" s="59">
        <f t="shared" si="5"/>
        <v>-8021.796499999991</v>
      </c>
      <c r="M27" s="59">
        <f t="shared" si="5"/>
        <v>-7823.836499999999</v>
      </c>
      <c r="N27" s="59">
        <f t="shared" si="5"/>
        <v>-2097.2935000000025</v>
      </c>
      <c r="O27" s="59">
        <f t="shared" si="5"/>
        <v>-14378.056500000004</v>
      </c>
      <c r="P27" s="59">
        <f t="shared" si="5"/>
        <v>-6222.176500000007</v>
      </c>
      <c r="Q27" s="59">
        <f t="shared" si="5"/>
        <v>-10504.726499999995</v>
      </c>
      <c r="R27" s="59">
        <f t="shared" si="5"/>
        <v>-6170.767</v>
      </c>
      <c r="S27" s="59">
        <f t="shared" si="5"/>
        <v>-2687.706999999995</v>
      </c>
      <c r="T27" s="59">
        <f t="shared" si="5"/>
        <v>-2684.466999999997</v>
      </c>
      <c r="U27" s="59">
        <f t="shared" si="5"/>
        <v>-6338.866999999998</v>
      </c>
      <c r="V27" s="59">
        <f t="shared" si="5"/>
        <v>-3962.4324999999994</v>
      </c>
      <c r="W27" s="59">
        <f t="shared" si="5"/>
        <v>-4784.0925000000025</v>
      </c>
      <c r="X27" s="58">
        <f t="shared" si="3"/>
        <v>-75676.21899999998</v>
      </c>
      <c r="Y27" s="73"/>
    </row>
    <row r="28" spans="1:25" ht="24" customHeight="1" thickBot="1">
      <c r="A28" s="71" t="s">
        <v>38</v>
      </c>
      <c r="B28" s="91" t="s">
        <v>22</v>
      </c>
      <c r="C28" s="92">
        <v>110607.21</v>
      </c>
      <c r="D28" s="93">
        <f>SUM(D7-D9)</f>
        <v>21701.080000000016</v>
      </c>
      <c r="E28" s="94">
        <f>SUM(E7-E9)</f>
        <v>-100381.97999999998</v>
      </c>
      <c r="F28" s="94">
        <f>SUM(F7-F9)</f>
        <v>-70754.21000000002</v>
      </c>
      <c r="G28" s="95">
        <f>SUM(G7-G9)-G26</f>
        <v>-50312.40200000006</v>
      </c>
      <c r="H28" s="96">
        <f>SUM(H7-H9)-H26</f>
        <v>-135612.71300000005</v>
      </c>
      <c r="I28" s="97">
        <f>SUM(I7-I9)-I26</f>
        <v>-124316.84399999998</v>
      </c>
      <c r="J28" s="97">
        <f>SUM(J7+J8-J9)-J26</f>
        <v>-124356.22200000005</v>
      </c>
      <c r="K28" s="96">
        <f>SUM(K7+K8-K9)-K26</f>
        <v>-144852.30800000002</v>
      </c>
      <c r="L28" s="98">
        <f>SUM(L7+L8-L9)-L26</f>
        <v>-8021.796499999991</v>
      </c>
      <c r="M28" s="99">
        <f>SUM(M27+L28)</f>
        <v>-15845.63299999999</v>
      </c>
      <c r="N28" s="99">
        <f aca="true" t="shared" si="6" ref="N28:W28">SUM(N27+M28)</f>
        <v>-17942.926499999994</v>
      </c>
      <c r="O28" s="99">
        <f t="shared" si="6"/>
        <v>-32320.983</v>
      </c>
      <c r="P28" s="99">
        <f t="shared" si="6"/>
        <v>-38543.15950000001</v>
      </c>
      <c r="Q28" s="99">
        <f t="shared" si="6"/>
        <v>-49047.886000000006</v>
      </c>
      <c r="R28" s="99">
        <f t="shared" si="6"/>
        <v>-55218.653000000006</v>
      </c>
      <c r="S28" s="99">
        <f t="shared" si="6"/>
        <v>-57906.36</v>
      </c>
      <c r="T28" s="99">
        <f t="shared" si="6"/>
        <v>-60590.827</v>
      </c>
      <c r="U28" s="99">
        <f t="shared" si="6"/>
        <v>-66929.69399999999</v>
      </c>
      <c r="V28" s="99">
        <f t="shared" si="6"/>
        <v>-70892.12649999998</v>
      </c>
      <c r="W28" s="99">
        <f t="shared" si="6"/>
        <v>-75676.21899999998</v>
      </c>
      <c r="X28" s="94"/>
      <c r="Y28" s="100"/>
    </row>
    <row r="29" spans="1:25" ht="21.75" customHeight="1" thickBot="1">
      <c r="A29" s="71" t="s">
        <v>39</v>
      </c>
      <c r="B29" s="38" t="s">
        <v>23</v>
      </c>
      <c r="C29" s="32">
        <v>110607.21</v>
      </c>
      <c r="D29" s="15">
        <f>SUM(D7-D9,C29)</f>
        <v>132308.29000000004</v>
      </c>
      <c r="E29" s="44">
        <f>SUM(E7-E9,D29)</f>
        <v>31926.310000000056</v>
      </c>
      <c r="F29" s="44">
        <f>SUM(F7-F9,E29)</f>
        <v>-38827.899999999965</v>
      </c>
      <c r="G29" s="79">
        <f aca="true" t="shared" si="7" ref="G29:L29">SUM(G28+F29)</f>
        <v>-89140.30200000003</v>
      </c>
      <c r="H29" s="58">
        <f t="shared" si="7"/>
        <v>-224753.01500000007</v>
      </c>
      <c r="I29" s="58">
        <f t="shared" si="7"/>
        <v>-349069.85900000005</v>
      </c>
      <c r="J29" s="58">
        <f t="shared" si="7"/>
        <v>-473426.0810000001</v>
      </c>
      <c r="K29" s="58">
        <f t="shared" si="7"/>
        <v>-618278.3890000002</v>
      </c>
      <c r="L29" s="58">
        <f t="shared" si="7"/>
        <v>-626300.1855000001</v>
      </c>
      <c r="M29" s="58">
        <f aca="true" t="shared" si="8" ref="M29:V29">SUM(M27+L29)</f>
        <v>-634124.0220000001</v>
      </c>
      <c r="N29" s="58">
        <f t="shared" si="8"/>
        <v>-636221.3155000001</v>
      </c>
      <c r="O29" s="58">
        <f t="shared" si="8"/>
        <v>-650599.3720000001</v>
      </c>
      <c r="P29" s="58">
        <f t="shared" si="8"/>
        <v>-656821.5485000001</v>
      </c>
      <c r="Q29" s="58">
        <f t="shared" si="8"/>
        <v>-667326.2750000001</v>
      </c>
      <c r="R29" s="58">
        <f t="shared" si="8"/>
        <v>-673497.0420000001</v>
      </c>
      <c r="S29" s="58">
        <f t="shared" si="8"/>
        <v>-676184.7490000001</v>
      </c>
      <c r="T29" s="58">
        <f>SUM(T27+S29)</f>
        <v>-678869.216</v>
      </c>
      <c r="U29" s="58">
        <f t="shared" si="8"/>
        <v>-685208.083</v>
      </c>
      <c r="V29" s="58">
        <f t="shared" si="8"/>
        <v>-689170.5155</v>
      </c>
      <c r="W29" s="58">
        <f>SUM(W27+V29)</f>
        <v>-693954.608</v>
      </c>
      <c r="X29" s="44"/>
      <c r="Y29" s="74"/>
    </row>
    <row r="30" spans="1:25" ht="10.5" customHeight="1" hidden="1" thickBot="1">
      <c r="A30" s="30" t="s">
        <v>40</v>
      </c>
      <c r="B30" s="38" t="s">
        <v>7</v>
      </c>
      <c r="C30" s="33"/>
      <c r="D30" s="33"/>
      <c r="E30" s="50"/>
      <c r="F30" s="50"/>
      <c r="G30" s="50"/>
      <c r="H30" s="50"/>
      <c r="I30" s="50"/>
      <c r="J30" s="50"/>
      <c r="K30" s="50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7"/>
      <c r="X30" s="45"/>
      <c r="Y30" s="40"/>
    </row>
    <row r="31" spans="1:25" ht="15" customHeight="1" hidden="1" thickBot="1">
      <c r="A31" s="31" t="s">
        <v>41</v>
      </c>
      <c r="B31" s="28" t="s">
        <v>24</v>
      </c>
      <c r="C31" s="33"/>
      <c r="D31" s="33"/>
      <c r="E31" s="50"/>
      <c r="F31" s="50"/>
      <c r="G31" s="50"/>
      <c r="H31" s="50"/>
      <c r="I31" s="50"/>
      <c r="J31" s="50"/>
      <c r="K31" s="50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7"/>
      <c r="X31" s="44"/>
      <c r="Y31" s="41"/>
    </row>
    <row r="32" spans="1:25" ht="0.75" customHeight="1" hidden="1" thickBot="1">
      <c r="A32" s="31" t="s">
        <v>43</v>
      </c>
      <c r="B32" s="29" t="s">
        <v>44</v>
      </c>
      <c r="C32" s="34"/>
      <c r="D32" s="34"/>
      <c r="E32" s="51"/>
      <c r="F32" s="51"/>
      <c r="G32" s="51"/>
      <c r="H32" s="51"/>
      <c r="I32" s="51"/>
      <c r="J32" s="51"/>
      <c r="K32" s="5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>
        <f>SUM(W28-W30)</f>
        <v>-75676.21899999998</v>
      </c>
      <c r="X32" s="46"/>
      <c r="Y32" s="42"/>
    </row>
    <row r="33" spans="1:25" ht="24" customHeight="1" hidden="1" thickBot="1">
      <c r="A33" s="39" t="s">
        <v>47</v>
      </c>
      <c r="B33" s="29" t="s">
        <v>25</v>
      </c>
      <c r="C33" s="34"/>
      <c r="D33" s="34"/>
      <c r="E33" s="51"/>
      <c r="F33" s="51"/>
      <c r="G33" s="51"/>
      <c r="H33" s="51"/>
      <c r="I33" s="51"/>
      <c r="J33" s="51"/>
      <c r="K33" s="5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>
        <f>SUM(W29-W30)</f>
        <v>-693954.608</v>
      </c>
      <c r="X33" s="46"/>
      <c r="Y33" s="42"/>
    </row>
    <row r="34" spans="3:25" ht="4.5" customHeight="1" hidden="1"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</row>
    <row r="35" ht="15.75" customHeight="1" hidden="1"/>
    <row r="36" ht="12.75" hidden="1"/>
    <row r="37" ht="12.75" hidden="1"/>
    <row r="38" ht="12.75" hidden="1"/>
    <row r="39" ht="15" customHeight="1">
      <c r="B39" t="s">
        <v>65</v>
      </c>
    </row>
    <row r="43" ht="12.75" customHeight="1"/>
    <row r="44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2020-02-20T11:41:48Z</cp:lastPrinted>
  <dcterms:created xsi:type="dcterms:W3CDTF">2011-06-16T11:06:26Z</dcterms:created>
  <dcterms:modified xsi:type="dcterms:W3CDTF">2020-02-20T11:41:50Z</dcterms:modified>
  <cp:category/>
  <cp:version/>
  <cp:contentType/>
  <cp:contentStatus/>
</cp:coreProperties>
</file>