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<sst xmlns="http://schemas.openxmlformats.org/spreadsheetml/2006/main" count="71" uniqueCount="70">
  <si>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СПРАВКА</t>
  </si>
  <si>
    <t xml:space="preserve">Начислено  </t>
  </si>
  <si>
    <t>Расходы</t>
  </si>
  <si>
    <t>Услуги РИРЦ</t>
  </si>
  <si>
    <t>Вывоз ТБО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</si>
  <si>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</si>
  <si>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</si>
  <si>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</si>
  <si>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</si>
  <si>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</si>
  <si>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</si>
  <si>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</si>
  <si>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</si>
  <si>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</si>
  <si>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</si>
  <si>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</si>
  <si>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</si>
  <si>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</si>
  <si>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</si>
  <si>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</si>
  <si>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</si>
  <si>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</si>
  <si>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</si>
  <si>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</si>
  <si>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</si>
  <si>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</si>
  <si>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</si>
  <si>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</si>
  <si>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</si>
  <si>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</si>
  <si>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</si>
  <si>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</si>
  <si>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</si>
  <si>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</si>
  <si>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</si>
  <si>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</si>
  <si>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</si>
  <si>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</si>
  <si>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</si>
  <si>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</si>
  <si>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</si>
  <si>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</si>
  <si>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</si>
  <si>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</si>
  <si>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</si>
  <si>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</si>
  <si>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</si>
  <si>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по жилому дому г. Унеча ул. Мира д.4</t>
  </si>
  <si>
    <t>Итого  за 2011 г</t>
  </si>
  <si>
    <t>Результат за месяц</t>
  </si>
  <si>
    <t>Итого  за 2012 г</t>
  </si>
  <si>
    <t>Благоустройство территории</t>
  </si>
  <si>
    <t>4.12</t>
  </si>
  <si>
    <t>Итого  за 2013 г</t>
  </si>
  <si>
    <t>Итого  за 2014 г</t>
  </si>
  <si>
    <t>рентабельность 5%</t>
  </si>
  <si>
    <t xml:space="preserve">Материалы 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</si>
  <si>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</si>
  <si>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</si>
  <si>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</si>
  <si>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</si>
  <si>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Л.С../</t>
  </si>
  <si>
    <t>Итого  за 2015 г</t>
  </si>
  <si>
    <t>Итого  за 2016 г</t>
  </si>
  <si>
    <t>Итого  за 2017 г</t>
  </si>
  <si>
    <t>Итого  за 2018 г</t>
  </si>
  <si>
    <t>Итого  за 2019 г</t>
  </si>
  <si>
    <t>Всего за 2009-2019</t>
  </si>
  <si>
    <t>Дом по ул.Мира  д.4 вступил в ООО "Наш дом" с ноября 2009 года     тариф 8,3 руб с января 2019 года тариф 7,8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</si>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</sst>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wrapText="1"/>
    </xf>
    <xf numFmtId="49" fontId="21" fillId="0" borderId="28" xfId="0" applyNumberFormat="1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2" borderId="31" xfId="0" applyFont="1" applyFill="1" applyBorder="1" applyAlignment="1">
      <alignment wrapText="1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23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5" fillId="0" borderId="35" xfId="0" applyNumberFormat="1" applyFont="1" applyBorder="1" applyAlignment="1">
      <alignment/>
    </xf>
    <xf numFmtId="0" fontId="23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/>
    </xf>
    <xf numFmtId="0" fontId="0" fillId="0" borderId="41" xfId="0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8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42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2" xfId="0" applyFont="1" applyBorder="1" applyAlignment="1">
      <alignment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43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0" fontId="26" fillId="0" borderId="32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49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19" fillId="0" borderId="48" xfId="0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/>
    </xf>
    <xf numFmtId="0" fontId="26" fillId="0" borderId="38" xfId="0" applyFont="1" applyBorder="1" applyAlignment="1">
      <alignment wrapText="1"/>
    </xf>
    <xf numFmtId="2" fontId="21" fillId="0" borderId="42" xfId="0" applyNumberFormat="1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0" fontId="19" fillId="0" borderId="27" xfId="0" applyFont="1" applyBorder="1" applyAlignment="1">
      <alignment wrapText="1"/>
    </xf>
    <xf numFmtId="0" fontId="27" fillId="0" borderId="23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11" xfId="0" applyFont="1" applyBorder="1" applyAlignment="1">
      <alignment/>
    </xf>
    <xf numFmtId="2" fontId="28" fillId="0" borderId="35" xfId="0" applyNumberFormat="1" applyFont="1" applyBorder="1" applyAlignment="1">
      <alignment/>
    </xf>
    <xf numFmtId="0" fontId="22" fillId="0" borderId="0" xfId="0" applyFont="1" applyAlignment="1">
      <alignment/>
    </xf>
    <xf numFmtId="0" fontId="27" fillId="0" borderId="43" xfId="0" applyFont="1" applyBorder="1" applyAlignment="1">
      <alignment wrapText="1"/>
    </xf>
    <xf numFmtId="0" fontId="27" fillId="0" borderId="50" xfId="0" applyFont="1" applyBorder="1" applyAlignment="1">
      <alignment wrapText="1"/>
    </xf>
    <xf numFmtId="0" fontId="27" fillId="0" borderId="51" xfId="0" applyFont="1" applyBorder="1" applyAlignment="1">
      <alignment wrapText="1"/>
    </xf>
    <xf numFmtId="0" fontId="27" fillId="0" borderId="50" xfId="0" applyFont="1" applyBorder="1" applyAlignment="1">
      <alignment/>
    </xf>
    <xf numFmtId="0" fontId="27" fillId="0" borderId="51" xfId="0" applyFont="1" applyBorder="1" applyAlignment="1">
      <alignment/>
    </xf>
    <xf numFmtId="2" fontId="27" fillId="0" borderId="50" xfId="0" applyNumberFormat="1" applyFont="1" applyBorder="1" applyAlignment="1">
      <alignment/>
    </xf>
    <xf numFmtId="2" fontId="27" fillId="0" borderId="51" xfId="0" applyNumberFormat="1" applyFont="1" applyBorder="1" applyAlignment="1">
      <alignment/>
    </xf>
    <xf numFmtId="2" fontId="27" fillId="0" borderId="35" xfId="0" applyNumberFormat="1" applyFont="1" applyBorder="1" applyAlignment="1">
      <alignment/>
    </xf>
    <xf numFmtId="2" fontId="27" fillId="0" borderId="52" xfId="0" applyNumberFormat="1" applyFont="1" applyBorder="1" applyAlignment="1">
      <alignment/>
    </xf>
    <xf numFmtId="2" fontId="27" fillId="0" borderId="53" xfId="0" applyNumberFormat="1" applyFont="1" applyBorder="1" applyAlignment="1">
      <alignment/>
    </xf>
    <xf numFmtId="0" fontId="22" fillId="0" borderId="4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PageLayoutView="0" workbookViewId="0" topLeftCell="A7">
      <selection activeCell="B2" sqref="B2:X2"/>
    </sheetView>
  </sheetViews>
  <sheetFormatPr defaultColWidth="9.00390625" defaultRowHeight="12.75"/>
  <cols>
    <col min="1" max="1" width="4.00390625" style="26" customWidth="1"/>
    <col min="2" max="2" width="19.25390625" style="0" customWidth="1"/>
    <col min="3" max="3" width="7.25390625" style="0" hidden="1" customWidth="1"/>
    <col min="4" max="4" width="8.00390625" style="0" hidden="1" customWidth="1"/>
    <col min="5" max="5" width="8.375" style="0" hidden="1" customWidth="1"/>
    <col min="6" max="6" width="9.625" style="0" hidden="1" customWidth="1"/>
    <col min="7" max="7" width="9.00390625" style="0" hidden="1" customWidth="1"/>
    <col min="8" max="8" width="10.25390625" style="0" hidden="1" customWidth="1"/>
    <col min="9" max="9" width="10.00390625" style="0" hidden="1" customWidth="1"/>
    <col min="10" max="10" width="9.75390625" style="0" hidden="1" customWidth="1"/>
    <col min="11" max="11" width="0.12890625" style="0" hidden="1" customWidth="1"/>
    <col min="12" max="12" width="9.125" style="0" hidden="1" customWidth="1"/>
    <col min="13" max="13" width="8.375" style="0" customWidth="1"/>
    <col min="14" max="14" width="8.875" style="0" customWidth="1"/>
    <col min="15" max="15" width="9.00390625" style="0" customWidth="1"/>
    <col min="16" max="16" width="8.125" style="0" customWidth="1"/>
    <col min="17" max="18" width="8.625" style="0" customWidth="1"/>
    <col min="19" max="19" width="8.25390625" style="0" customWidth="1"/>
    <col min="20" max="20" width="9.00390625" style="0" customWidth="1"/>
    <col min="22" max="22" width="9.125" style="0" customWidth="1"/>
    <col min="23" max="23" width="8.125" style="0" customWidth="1"/>
    <col min="24" max="24" width="8.375" style="0" customWidth="1"/>
    <col min="25" max="25" width="8.625" style="0" customWidth="1"/>
    <col min="26" max="26" width="9.875" style="0" customWidth="1"/>
  </cols>
  <sheetData>
    <row r="1" spans="2:31" ht="12.75" customHeight="1">
      <c r="B1" s="106" t="s">
        <v>69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106" t="s">
        <v>68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  <c r="X2" s="107"/>
      <c r="Y2" s="4"/>
      <c r="Z2" s="4"/>
      <c r="AA2" s="4"/>
      <c r="AB2" s="4"/>
      <c r="AC2" s="4"/>
      <c r="AD2" s="4"/>
      <c r="AE2" s="4"/>
    </row>
    <row r="3" spans="2:31" ht="12.75" customHeight="1">
      <c r="B3" s="105" t="s">
        <v>0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3"/>
      <c r="AB3" s="3"/>
      <c r="AC3" s="3"/>
      <c r="AD3" s="3"/>
      <c r="AE3" s="3"/>
    </row>
    <row r="4" spans="2:31" ht="15" customHeight="1">
      <c r="B4" s="104" t="s">
        <v>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2"/>
      <c r="AB4" s="2"/>
      <c r="AC4" s="2"/>
      <c r="AD4" s="2"/>
      <c r="AE4" s="2"/>
    </row>
    <row r="5" spans="2:31" ht="16.5" customHeight="1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2"/>
      <c r="AB5" s="2"/>
      <c r="AC5" s="2"/>
      <c r="AD5" s="2"/>
      <c r="AE5" s="2"/>
    </row>
    <row r="6" spans="2:31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45.75" customHeight="1" thickBot="1">
      <c r="A7" s="34" t="s">
        <v>26</v>
      </c>
      <c r="B7" s="27" t="s">
        <v>6</v>
      </c>
      <c r="C7" s="37" t="s">
        <v>43</v>
      </c>
      <c r="D7" s="41" t="s">
        <v>44</v>
      </c>
      <c r="E7" s="57" t="s">
        <v>48</v>
      </c>
      <c r="F7" s="57" t="s">
        <v>50</v>
      </c>
      <c r="G7" s="57" t="s">
        <v>53</v>
      </c>
      <c r="H7" s="81" t="s">
        <v>54</v>
      </c>
      <c r="I7" s="57" t="s">
        <v>62</v>
      </c>
      <c r="J7" s="57" t="s">
        <v>63</v>
      </c>
      <c r="K7" s="57" t="s">
        <v>64</v>
      </c>
      <c r="L7" s="57" t="s">
        <v>65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7" t="s">
        <v>66</v>
      </c>
      <c r="Z7" s="52" t="s">
        <v>67</v>
      </c>
      <c r="AA7" s="1"/>
      <c r="AB7" s="1"/>
      <c r="AC7" s="1"/>
      <c r="AD7" s="1"/>
      <c r="AE7" s="1"/>
    </row>
    <row r="8" spans="1:26" ht="13.5" thickBot="1">
      <c r="A8" s="35" t="s">
        <v>27</v>
      </c>
      <c r="B8" s="28" t="s">
        <v>1</v>
      </c>
      <c r="C8" s="67">
        <v>2727.38</v>
      </c>
      <c r="D8" s="68">
        <v>16337.72</v>
      </c>
      <c r="E8" s="69">
        <v>16852.32</v>
      </c>
      <c r="F8" s="68">
        <v>17041.56</v>
      </c>
      <c r="G8" s="68">
        <v>17041.56</v>
      </c>
      <c r="H8" s="69">
        <v>17041.56</v>
      </c>
      <c r="I8" s="68">
        <v>17041.56</v>
      </c>
      <c r="J8" s="83">
        <v>17041.56</v>
      </c>
      <c r="K8" s="68">
        <v>17041.56</v>
      </c>
      <c r="L8" s="68">
        <v>17041.56</v>
      </c>
      <c r="M8" s="7">
        <v>1334.58</v>
      </c>
      <c r="N8" s="7">
        <v>1334.58</v>
      </c>
      <c r="O8" s="7">
        <v>1334.58</v>
      </c>
      <c r="P8" s="7">
        <v>1334.58</v>
      </c>
      <c r="Q8" s="7">
        <v>1334.58</v>
      </c>
      <c r="R8" s="7">
        <v>1334.58</v>
      </c>
      <c r="S8" s="7">
        <v>1334.58</v>
      </c>
      <c r="T8" s="7">
        <v>1334.58</v>
      </c>
      <c r="U8" s="7">
        <v>1334.58</v>
      </c>
      <c r="V8" s="7">
        <v>1334.58</v>
      </c>
      <c r="W8" s="7">
        <v>1334.58</v>
      </c>
      <c r="X8" s="7">
        <v>1334.58</v>
      </c>
      <c r="Y8" s="58">
        <f>SUM(M8:X8)</f>
        <v>16014.96</v>
      </c>
      <c r="Z8" s="62">
        <f>SUM(C8:X8)</f>
        <v>171223.29999999984</v>
      </c>
    </row>
    <row r="9" spans="1:26" s="92" customFormat="1" ht="13.5" thickBot="1">
      <c r="A9" s="85" t="s">
        <v>28</v>
      </c>
      <c r="B9" s="86" t="s">
        <v>2</v>
      </c>
      <c r="C9" s="87">
        <v>1861.85</v>
      </c>
      <c r="D9" s="88">
        <f aca="true" t="shared" si="0" ref="D9:M9">SUM(D10:D19)</f>
        <v>19113.18</v>
      </c>
      <c r="E9" s="87">
        <f t="shared" si="0"/>
        <v>17739.82</v>
      </c>
      <c r="F9" s="88">
        <f t="shared" si="0"/>
        <v>18227.489999999998</v>
      </c>
      <c r="G9" s="88">
        <f t="shared" si="0"/>
        <v>17805.21</v>
      </c>
      <c r="H9" s="89">
        <f t="shared" si="0"/>
        <v>22331.739999999998</v>
      </c>
      <c r="I9" s="88">
        <f>SUM(I10:I19)</f>
        <v>19722.579999999998</v>
      </c>
      <c r="J9" s="88">
        <f>SUM(J10:J19)</f>
        <v>17218.31</v>
      </c>
      <c r="K9" s="88">
        <f>SUM(K10:K19)</f>
        <v>17108.58</v>
      </c>
      <c r="L9" s="88">
        <f t="shared" si="0"/>
        <v>17835.01</v>
      </c>
      <c r="M9" s="90">
        <f t="shared" si="0"/>
        <v>1048.25</v>
      </c>
      <c r="N9" s="90">
        <f aca="true" t="shared" si="1" ref="N9:X9">SUM(N10:N19)</f>
        <v>1183.89</v>
      </c>
      <c r="O9" s="90">
        <f t="shared" si="1"/>
        <v>1152.55</v>
      </c>
      <c r="P9" s="90">
        <f t="shared" si="1"/>
        <v>1238.07</v>
      </c>
      <c r="Q9" s="90">
        <f t="shared" si="1"/>
        <v>1188.73</v>
      </c>
      <c r="R9" s="90">
        <f t="shared" si="1"/>
        <v>892.42</v>
      </c>
      <c r="S9" s="90">
        <f t="shared" si="1"/>
        <v>1230.13</v>
      </c>
      <c r="T9" s="90">
        <f t="shared" si="1"/>
        <v>1151.27</v>
      </c>
      <c r="U9" s="90">
        <f t="shared" si="1"/>
        <v>831.2700000000001</v>
      </c>
      <c r="V9" s="90">
        <f t="shared" si="1"/>
        <v>1338.1700000000003</v>
      </c>
      <c r="W9" s="90">
        <f t="shared" si="1"/>
        <v>1205.04</v>
      </c>
      <c r="X9" s="87">
        <f t="shared" si="1"/>
        <v>1248.69</v>
      </c>
      <c r="Y9" s="88">
        <f>SUM(M9:X9)</f>
        <v>13708.480000000001</v>
      </c>
      <c r="Z9" s="91">
        <f>SUM(C9:X9)</f>
        <v>182672.25000000006</v>
      </c>
    </row>
    <row r="10" spans="1:26" ht="13.5" thickBot="1">
      <c r="A10" s="35" t="s">
        <v>29</v>
      </c>
      <c r="B10" s="29" t="s">
        <v>4</v>
      </c>
      <c r="C10" s="45"/>
      <c r="D10" s="46">
        <v>9143.24</v>
      </c>
      <c r="E10" s="70">
        <v>5366.45</v>
      </c>
      <c r="F10" s="46">
        <v>5980.61</v>
      </c>
      <c r="G10" s="46">
        <v>5410.24</v>
      </c>
      <c r="H10" s="70">
        <v>6555.38</v>
      </c>
      <c r="I10" s="46">
        <v>6001.64</v>
      </c>
      <c r="J10" s="46">
        <v>5495.54</v>
      </c>
      <c r="K10" s="46">
        <v>5384.79</v>
      </c>
      <c r="L10" s="46">
        <v>5420.56</v>
      </c>
      <c r="M10" s="7"/>
      <c r="N10" s="8"/>
      <c r="O10" s="8"/>
      <c r="P10" s="8">
        <v>11.17</v>
      </c>
      <c r="Q10" s="8">
        <v>8.54</v>
      </c>
      <c r="R10" s="8">
        <v>3.53</v>
      </c>
      <c r="S10" s="8">
        <v>9.31</v>
      </c>
      <c r="T10" s="8">
        <v>6.88</v>
      </c>
      <c r="U10" s="8">
        <v>1.72</v>
      </c>
      <c r="V10" s="8">
        <v>6.16</v>
      </c>
      <c r="W10" s="8">
        <v>4.56</v>
      </c>
      <c r="X10" s="16">
        <v>3.09</v>
      </c>
      <c r="Y10" s="59">
        <f aca="true" t="shared" si="2" ref="Y10:Y21">SUM(M10:X10)</f>
        <v>54.96000000000001</v>
      </c>
      <c r="Z10" s="51">
        <f>SUM(C10:X10)</f>
        <v>54813.409999999996</v>
      </c>
    </row>
    <row r="11" spans="1:26" ht="16.5" customHeight="1" thickBot="1">
      <c r="A11" s="35" t="s">
        <v>30</v>
      </c>
      <c r="B11" s="30" t="s">
        <v>57</v>
      </c>
      <c r="C11" s="47"/>
      <c r="D11" s="48">
        <v>4503.03</v>
      </c>
      <c r="E11" s="71">
        <v>1688.89</v>
      </c>
      <c r="F11" s="48">
        <v>307.73</v>
      </c>
      <c r="G11" s="48">
        <v>4.22</v>
      </c>
      <c r="H11" s="71">
        <v>1356.28</v>
      </c>
      <c r="I11" s="48">
        <v>8251.54</v>
      </c>
      <c r="J11" s="48">
        <v>547.93</v>
      </c>
      <c r="K11" s="48">
        <v>397.84</v>
      </c>
      <c r="L11" s="48">
        <v>0</v>
      </c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7"/>
      <c r="Y11" s="59">
        <f t="shared" si="2"/>
        <v>0</v>
      </c>
      <c r="Z11" s="51">
        <f>SUM(C11:X11)</f>
        <v>17057.46</v>
      </c>
    </row>
    <row r="12" spans="1:26" ht="15" customHeight="1" thickBot="1">
      <c r="A12" s="35" t="s">
        <v>31</v>
      </c>
      <c r="B12" s="30" t="s">
        <v>56</v>
      </c>
      <c r="C12" s="47"/>
      <c r="D12" s="48">
        <v>60.47</v>
      </c>
      <c r="E12" s="71">
        <v>634.65</v>
      </c>
      <c r="F12" s="48">
        <v>116.03</v>
      </c>
      <c r="G12" s="48">
        <v>301.4</v>
      </c>
      <c r="H12" s="71">
        <v>2472.58</v>
      </c>
      <c r="I12" s="48">
        <v>321.62</v>
      </c>
      <c r="J12" s="48">
        <v>857.1</v>
      </c>
      <c r="K12" s="48">
        <v>95</v>
      </c>
      <c r="L12" s="48">
        <v>0</v>
      </c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7"/>
      <c r="Y12" s="59">
        <f t="shared" si="2"/>
        <v>0</v>
      </c>
      <c r="Z12" s="51">
        <f aca="true" t="shared" si="3" ref="Z12:Z19">SUM(C12:X12)</f>
        <v>4858.85</v>
      </c>
    </row>
    <row r="13" spans="1:26" ht="25.5" customHeight="1" thickBot="1">
      <c r="A13" s="35" t="s">
        <v>32</v>
      </c>
      <c r="B13" s="30" t="s">
        <v>51</v>
      </c>
      <c r="C13" s="47"/>
      <c r="D13" s="48">
        <v>0</v>
      </c>
      <c r="E13" s="71">
        <v>0</v>
      </c>
      <c r="F13" s="48">
        <v>256</v>
      </c>
      <c r="G13" s="48">
        <v>0</v>
      </c>
      <c r="H13" s="71">
        <v>4.36</v>
      </c>
      <c r="I13" s="48">
        <v>0</v>
      </c>
      <c r="J13" s="48">
        <v>51</v>
      </c>
      <c r="K13" s="48">
        <v>8</v>
      </c>
      <c r="L13" s="48">
        <v>0</v>
      </c>
      <c r="M13" s="9">
        <v>17.6</v>
      </c>
      <c r="N13" s="10">
        <v>9</v>
      </c>
      <c r="O13" s="10"/>
      <c r="P13" s="10"/>
      <c r="Q13" s="10"/>
      <c r="R13" s="10"/>
      <c r="S13" s="10"/>
      <c r="T13" s="10"/>
      <c r="U13" s="10"/>
      <c r="V13" s="10"/>
      <c r="W13" s="10"/>
      <c r="X13" s="17"/>
      <c r="Y13" s="59">
        <f t="shared" si="2"/>
        <v>26.6</v>
      </c>
      <c r="Z13" s="51">
        <f t="shared" si="3"/>
        <v>345.96000000000004</v>
      </c>
    </row>
    <row r="14" spans="1:26" ht="23.25" customHeight="1" thickBot="1">
      <c r="A14" s="35" t="s">
        <v>33</v>
      </c>
      <c r="B14" s="30" t="s">
        <v>5</v>
      </c>
      <c r="C14" s="47"/>
      <c r="D14" s="48">
        <v>348.28</v>
      </c>
      <c r="E14" s="71">
        <v>30.71</v>
      </c>
      <c r="F14" s="48">
        <v>0</v>
      </c>
      <c r="G14" s="48">
        <v>0</v>
      </c>
      <c r="H14" s="71"/>
      <c r="I14" s="48">
        <v>0</v>
      </c>
      <c r="J14" s="48">
        <v>0</v>
      </c>
      <c r="K14" s="48">
        <v>0</v>
      </c>
      <c r="L14" s="48">
        <v>0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7"/>
      <c r="Y14" s="59">
        <f t="shared" si="2"/>
        <v>0</v>
      </c>
      <c r="Z14" s="51">
        <f t="shared" si="3"/>
        <v>378.98999999999995</v>
      </c>
    </row>
    <row r="15" spans="1:26" ht="35.25" customHeight="1" thickBot="1">
      <c r="A15" s="35" t="s">
        <v>34</v>
      </c>
      <c r="B15" s="30" t="s">
        <v>58</v>
      </c>
      <c r="C15" s="47"/>
      <c r="D15" s="48">
        <v>222.85</v>
      </c>
      <c r="E15" s="71">
        <v>825.04</v>
      </c>
      <c r="F15" s="48">
        <v>1047.12</v>
      </c>
      <c r="G15" s="48">
        <v>1145.51</v>
      </c>
      <c r="H15" s="71">
        <v>697.22</v>
      </c>
      <c r="I15" s="48">
        <v>822.29</v>
      </c>
      <c r="J15" s="48">
        <v>869.57</v>
      </c>
      <c r="K15" s="48">
        <v>883.43</v>
      </c>
      <c r="L15" s="48">
        <v>928.38</v>
      </c>
      <c r="M15" s="9">
        <v>74.78</v>
      </c>
      <c r="N15" s="10">
        <v>78.39</v>
      </c>
      <c r="O15" s="10">
        <v>62.24</v>
      </c>
      <c r="P15" s="10">
        <v>74.54</v>
      </c>
      <c r="Q15" s="10">
        <v>62.01</v>
      </c>
      <c r="R15" s="10">
        <v>47.55</v>
      </c>
      <c r="S15" s="10">
        <v>49.69</v>
      </c>
      <c r="T15" s="10">
        <v>42.12</v>
      </c>
      <c r="U15" s="10">
        <v>47.36</v>
      </c>
      <c r="V15" s="10">
        <v>98.07</v>
      </c>
      <c r="W15" s="10">
        <v>62.01</v>
      </c>
      <c r="X15" s="17">
        <v>52.76</v>
      </c>
      <c r="Y15" s="59">
        <f t="shared" si="2"/>
        <v>751.52</v>
      </c>
      <c r="Z15" s="51">
        <f t="shared" si="3"/>
        <v>8192.929999999998</v>
      </c>
    </row>
    <row r="16" spans="1:26" ht="33.75" customHeight="1" thickBot="1">
      <c r="A16" s="35" t="s">
        <v>35</v>
      </c>
      <c r="B16" s="30" t="s">
        <v>59</v>
      </c>
      <c r="C16" s="47"/>
      <c r="D16" s="48">
        <v>388.51</v>
      </c>
      <c r="E16" s="71">
        <v>444.74</v>
      </c>
      <c r="F16" s="48">
        <v>135.66</v>
      </c>
      <c r="G16" s="48">
        <v>96.42</v>
      </c>
      <c r="H16" s="71">
        <v>209.73</v>
      </c>
      <c r="I16" s="48">
        <v>141.71</v>
      </c>
      <c r="J16" s="48">
        <v>123.7</v>
      </c>
      <c r="K16" s="48">
        <v>96.63</v>
      </c>
      <c r="L16" s="48">
        <v>93.66</v>
      </c>
      <c r="M16" s="9">
        <v>5.92</v>
      </c>
      <c r="N16" s="10">
        <v>5.1</v>
      </c>
      <c r="O16" s="10">
        <v>4.45</v>
      </c>
      <c r="P16" s="10">
        <v>5.17</v>
      </c>
      <c r="Q16" s="10">
        <v>0.55</v>
      </c>
      <c r="R16" s="10">
        <v>7.75</v>
      </c>
      <c r="S16" s="10">
        <v>8.69</v>
      </c>
      <c r="T16" s="10">
        <v>10.13</v>
      </c>
      <c r="U16" s="10">
        <v>15.05</v>
      </c>
      <c r="V16" s="10">
        <v>3.72</v>
      </c>
      <c r="W16" s="10">
        <v>13.74</v>
      </c>
      <c r="X16" s="17">
        <v>4.83</v>
      </c>
      <c r="Y16" s="59">
        <f t="shared" si="2"/>
        <v>85.1</v>
      </c>
      <c r="Z16" s="51">
        <f t="shared" si="3"/>
        <v>1815.8600000000001</v>
      </c>
    </row>
    <row r="17" spans="1:26" ht="34.5" customHeight="1" thickBot="1">
      <c r="A17" s="35" t="s">
        <v>36</v>
      </c>
      <c r="B17" s="30" t="s">
        <v>60</v>
      </c>
      <c r="C17" s="47"/>
      <c r="D17" s="48">
        <v>179.47</v>
      </c>
      <c r="E17" s="71">
        <v>683.5</v>
      </c>
      <c r="F17" s="48">
        <v>705.15</v>
      </c>
      <c r="G17" s="48">
        <v>945.98</v>
      </c>
      <c r="H17" s="71">
        <v>813.26</v>
      </c>
      <c r="I17" s="48">
        <v>1064.89</v>
      </c>
      <c r="J17" s="48">
        <v>904.83</v>
      </c>
      <c r="K17" s="48">
        <v>953.09</v>
      </c>
      <c r="L17" s="48">
        <v>1044.03</v>
      </c>
      <c r="M17" s="9">
        <f>3.69+35.78+44.08</f>
        <v>83.55</v>
      </c>
      <c r="N17" s="10">
        <f>3.48+49.86+42.73</f>
        <v>96.07</v>
      </c>
      <c r="O17" s="10">
        <f>44.56+3.03+33.24</f>
        <v>80.83000000000001</v>
      </c>
      <c r="P17" s="10">
        <f>3.24+36.75+118.08</f>
        <v>158.07</v>
      </c>
      <c r="Q17" s="10">
        <f>3.16+40.58+32</f>
        <v>75.74</v>
      </c>
      <c r="R17" s="10">
        <f>3.67+28.24+56.67</f>
        <v>88.58</v>
      </c>
      <c r="S17" s="10">
        <f>3.53+47.84+25.81</f>
        <v>77.18</v>
      </c>
      <c r="T17" s="10">
        <f>3.24+29.4+41.14</f>
        <v>73.78</v>
      </c>
      <c r="U17" s="10">
        <f>2.35+26.15+37.46</f>
        <v>65.96000000000001</v>
      </c>
      <c r="V17" s="10">
        <f>2.39+41.89+106.45</f>
        <v>150.73000000000002</v>
      </c>
      <c r="W17" s="10">
        <f>2.61+26.34+27.42</f>
        <v>56.370000000000005</v>
      </c>
      <c r="X17" s="17">
        <f>2.63+79.67+46.02</f>
        <v>128.32</v>
      </c>
      <c r="Y17" s="59">
        <f t="shared" si="2"/>
        <v>1135.18</v>
      </c>
      <c r="Z17" s="51">
        <f t="shared" si="3"/>
        <v>8429.38</v>
      </c>
    </row>
    <row r="18" spans="1:26" ht="15.75" customHeight="1" thickBot="1">
      <c r="A18" s="35" t="s">
        <v>37</v>
      </c>
      <c r="B18" s="30" t="s">
        <v>8</v>
      </c>
      <c r="C18" s="47"/>
      <c r="D18" s="48">
        <v>3611.62</v>
      </c>
      <c r="E18" s="71">
        <v>6953.71</v>
      </c>
      <c r="F18" s="48">
        <v>8857.47</v>
      </c>
      <c r="G18" s="48">
        <v>9346.37</v>
      </c>
      <c r="H18" s="71">
        <v>9567.57</v>
      </c>
      <c r="I18" s="48">
        <v>2474.6</v>
      </c>
      <c r="J18" s="48">
        <v>7723.21</v>
      </c>
      <c r="K18" s="48">
        <v>8676.19</v>
      </c>
      <c r="L18" s="48">
        <v>9677.33</v>
      </c>
      <c r="M18" s="9">
        <f>1048.25-237.26</f>
        <v>810.99</v>
      </c>
      <c r="N18" s="10">
        <f>1183.89-237.86</f>
        <v>946.0300000000001</v>
      </c>
      <c r="O18" s="10">
        <f>1152.55-200.63</f>
        <v>951.92</v>
      </c>
      <c r="P18" s="10">
        <f>1238.07-281.72</f>
        <v>956.3499999999999</v>
      </c>
      <c r="Q18" s="10">
        <f>1188.73-185.22</f>
        <v>1003.51</v>
      </c>
      <c r="R18" s="10">
        <f>892.42-210.95</f>
        <v>681.47</v>
      </c>
      <c r="S18" s="10">
        <f>1230.13-209.49</f>
        <v>1020.6400000000001</v>
      </c>
      <c r="T18" s="10">
        <f>1151.27-169.73</f>
        <v>981.54</v>
      </c>
      <c r="U18" s="10">
        <f>831.27-178.41</f>
        <v>652.86</v>
      </c>
      <c r="V18" s="10">
        <f>1338.17-323.59</f>
        <v>1014.5800000000002</v>
      </c>
      <c r="W18" s="10">
        <f>1205.04-187.19</f>
        <v>1017.8499999999999</v>
      </c>
      <c r="X18" s="17">
        <f>1248.69-239.87</f>
        <v>1008.82</v>
      </c>
      <c r="Y18" s="59">
        <f t="shared" si="2"/>
        <v>11046.560000000001</v>
      </c>
      <c r="Z18" s="51">
        <f t="shared" si="3"/>
        <v>77934.63</v>
      </c>
    </row>
    <row r="19" spans="1:26" ht="13.5" customHeight="1" thickBot="1">
      <c r="A19" s="35" t="s">
        <v>52</v>
      </c>
      <c r="B19" s="31" t="s">
        <v>3</v>
      </c>
      <c r="C19" s="49"/>
      <c r="D19" s="50">
        <v>655.71</v>
      </c>
      <c r="E19" s="72">
        <v>1112.13</v>
      </c>
      <c r="F19" s="50">
        <v>821.72</v>
      </c>
      <c r="G19" s="50">
        <v>555.07</v>
      </c>
      <c r="H19" s="72">
        <v>655.36</v>
      </c>
      <c r="I19" s="50">
        <v>644.29</v>
      </c>
      <c r="J19" s="50">
        <v>645.43</v>
      </c>
      <c r="K19" s="50">
        <v>613.61</v>
      </c>
      <c r="L19" s="50">
        <v>671.05</v>
      </c>
      <c r="M19" s="11">
        <v>55.41</v>
      </c>
      <c r="N19" s="12">
        <v>49.3</v>
      </c>
      <c r="O19" s="12">
        <v>53.11</v>
      </c>
      <c r="P19" s="12">
        <v>32.77</v>
      </c>
      <c r="Q19" s="12">
        <v>38.38</v>
      </c>
      <c r="R19" s="12">
        <v>63.54</v>
      </c>
      <c r="S19" s="12">
        <v>64.62</v>
      </c>
      <c r="T19" s="12">
        <v>36.82</v>
      </c>
      <c r="U19" s="12">
        <v>48.32</v>
      </c>
      <c r="V19" s="12">
        <v>64.91</v>
      </c>
      <c r="W19" s="12">
        <v>50.51</v>
      </c>
      <c r="X19" s="19">
        <f>50.87</f>
        <v>50.87</v>
      </c>
      <c r="Y19" s="59">
        <f t="shared" si="2"/>
        <v>608.56</v>
      </c>
      <c r="Z19" s="51">
        <f t="shared" si="3"/>
        <v>6982.93</v>
      </c>
    </row>
    <row r="20" spans="1:26" ht="13.5" customHeight="1" thickBot="1">
      <c r="A20" s="35"/>
      <c r="B20" s="42" t="s">
        <v>55</v>
      </c>
      <c r="C20" s="74"/>
      <c r="D20" s="75"/>
      <c r="E20" s="76"/>
      <c r="F20" s="75"/>
      <c r="G20" s="75"/>
      <c r="H20" s="82">
        <f aca="true" t="shared" si="4" ref="H20:M20">H8*5%</f>
        <v>852.0780000000001</v>
      </c>
      <c r="I20" s="78">
        <f t="shared" si="4"/>
        <v>852.0780000000001</v>
      </c>
      <c r="J20" s="77">
        <f t="shared" si="4"/>
        <v>852.0780000000001</v>
      </c>
      <c r="K20" s="78">
        <f t="shared" si="4"/>
        <v>852.0780000000001</v>
      </c>
      <c r="L20" s="78">
        <f t="shared" si="4"/>
        <v>852.0780000000001</v>
      </c>
      <c r="M20" s="77">
        <f t="shared" si="4"/>
        <v>66.729</v>
      </c>
      <c r="N20" s="77">
        <f aca="true" t="shared" si="5" ref="N20:X20">N8*5%</f>
        <v>66.729</v>
      </c>
      <c r="O20" s="77">
        <f t="shared" si="5"/>
        <v>66.729</v>
      </c>
      <c r="P20" s="77">
        <f t="shared" si="5"/>
        <v>66.729</v>
      </c>
      <c r="Q20" s="77">
        <f t="shared" si="5"/>
        <v>66.729</v>
      </c>
      <c r="R20" s="77">
        <f t="shared" si="5"/>
        <v>66.729</v>
      </c>
      <c r="S20" s="77">
        <f t="shared" si="5"/>
        <v>66.729</v>
      </c>
      <c r="T20" s="77">
        <f t="shared" si="5"/>
        <v>66.729</v>
      </c>
      <c r="U20" s="77">
        <f t="shared" si="5"/>
        <v>66.729</v>
      </c>
      <c r="V20" s="77">
        <f t="shared" si="5"/>
        <v>66.729</v>
      </c>
      <c r="W20" s="77">
        <f t="shared" si="5"/>
        <v>66.729</v>
      </c>
      <c r="X20" s="77">
        <f t="shared" si="5"/>
        <v>66.729</v>
      </c>
      <c r="Y20" s="78">
        <f t="shared" si="2"/>
        <v>800.7480000000002</v>
      </c>
      <c r="Z20" s="66"/>
    </row>
    <row r="21" spans="1:26" ht="20.25" customHeight="1" thickBot="1">
      <c r="A21" s="35" t="s">
        <v>38</v>
      </c>
      <c r="B21" s="63" t="s">
        <v>49</v>
      </c>
      <c r="C21" s="64"/>
      <c r="D21" s="65"/>
      <c r="E21" s="73"/>
      <c r="F21" s="65"/>
      <c r="G21" s="65"/>
      <c r="H21" s="73"/>
      <c r="I21" s="65"/>
      <c r="J21" s="65"/>
      <c r="K21" s="84">
        <f aca="true" t="shared" si="6" ref="K21:X21">SUM(K8-K9)-K20</f>
        <v>-919.0980000000005</v>
      </c>
      <c r="L21" s="84">
        <f>SUM(L8-L9)-L20</f>
        <v>-1645.527999999997</v>
      </c>
      <c r="M21" s="79">
        <f t="shared" si="6"/>
        <v>219.60099999999994</v>
      </c>
      <c r="N21" s="79">
        <f t="shared" si="6"/>
        <v>83.96099999999983</v>
      </c>
      <c r="O21" s="79">
        <f t="shared" si="6"/>
        <v>115.30099999999997</v>
      </c>
      <c r="P21" s="79">
        <f t="shared" si="6"/>
        <v>29.78099999999999</v>
      </c>
      <c r="Q21" s="79">
        <f t="shared" si="6"/>
        <v>79.12099999999991</v>
      </c>
      <c r="R21" s="79">
        <f t="shared" si="6"/>
        <v>375.431</v>
      </c>
      <c r="S21" s="79">
        <f t="shared" si="6"/>
        <v>37.72099999999982</v>
      </c>
      <c r="T21" s="79">
        <f t="shared" si="6"/>
        <v>116.58099999999995</v>
      </c>
      <c r="U21" s="79">
        <f t="shared" si="6"/>
        <v>436.58099999999985</v>
      </c>
      <c r="V21" s="79">
        <f t="shared" si="6"/>
        <v>-70.31900000000037</v>
      </c>
      <c r="W21" s="79">
        <f t="shared" si="6"/>
        <v>62.810999999999964</v>
      </c>
      <c r="X21" s="79">
        <f t="shared" si="6"/>
        <v>19.160999999999873</v>
      </c>
      <c r="Y21" s="78">
        <f t="shared" si="2"/>
        <v>1505.7319999999986</v>
      </c>
      <c r="Z21" s="66"/>
    </row>
    <row r="22" spans="1:26" ht="23.25" customHeight="1" thickBot="1">
      <c r="A22" s="85" t="s">
        <v>39</v>
      </c>
      <c r="B22" s="93" t="s">
        <v>22</v>
      </c>
      <c r="C22" s="94">
        <v>865.53</v>
      </c>
      <c r="D22" s="95">
        <v>1221.24</v>
      </c>
      <c r="E22" s="96">
        <f>SUM(E8-E9)</f>
        <v>-887.5</v>
      </c>
      <c r="F22" s="97">
        <f>SUM(F8-F9)</f>
        <v>-1185.9299999999967</v>
      </c>
      <c r="G22" s="97">
        <f>SUM(G8-G9)</f>
        <v>-763.6499999999978</v>
      </c>
      <c r="H22" s="98">
        <f aca="true" t="shared" si="7" ref="H22:M22">SUM(H8-H9)-H20</f>
        <v>-6142.257999999997</v>
      </c>
      <c r="I22" s="99">
        <f t="shared" si="7"/>
        <v>-3533.097999999997</v>
      </c>
      <c r="J22" s="100">
        <f t="shared" si="7"/>
        <v>-1028.828</v>
      </c>
      <c r="K22" s="100">
        <f t="shared" si="7"/>
        <v>-919.0980000000005</v>
      </c>
      <c r="L22" s="100">
        <f t="shared" si="7"/>
        <v>-1645.527999999997</v>
      </c>
      <c r="M22" s="101">
        <f t="shared" si="7"/>
        <v>219.60099999999994</v>
      </c>
      <c r="N22" s="102">
        <f>SUM(N21+M22)</f>
        <v>303.5619999999998</v>
      </c>
      <c r="O22" s="102">
        <f aca="true" t="shared" si="8" ref="O22:X22">SUM(O21+N22)</f>
        <v>418.8629999999998</v>
      </c>
      <c r="P22" s="102">
        <f t="shared" si="8"/>
        <v>448.6439999999998</v>
      </c>
      <c r="Q22" s="102">
        <f t="shared" si="8"/>
        <v>527.7649999999996</v>
      </c>
      <c r="R22" s="102">
        <f t="shared" si="8"/>
        <v>903.1959999999997</v>
      </c>
      <c r="S22" s="102">
        <f t="shared" si="8"/>
        <v>940.9169999999995</v>
      </c>
      <c r="T22" s="102">
        <f t="shared" si="8"/>
        <v>1057.4979999999994</v>
      </c>
      <c r="U22" s="102">
        <f t="shared" si="8"/>
        <v>1494.0789999999993</v>
      </c>
      <c r="V22" s="102">
        <f t="shared" si="8"/>
        <v>1423.7599999999989</v>
      </c>
      <c r="W22" s="102">
        <f t="shared" si="8"/>
        <v>1486.5709999999988</v>
      </c>
      <c r="X22" s="102">
        <f t="shared" si="8"/>
        <v>1505.7319999999986</v>
      </c>
      <c r="Y22" s="97"/>
      <c r="Z22" s="103"/>
    </row>
    <row r="23" spans="1:26" ht="24.75" customHeight="1" thickBot="1">
      <c r="A23" s="35" t="s">
        <v>40</v>
      </c>
      <c r="B23" s="42" t="s">
        <v>23</v>
      </c>
      <c r="C23" s="38">
        <v>865.53</v>
      </c>
      <c r="D23" s="42">
        <v>2086.77</v>
      </c>
      <c r="E23" s="18">
        <f>SUM(E8-E9,D23)</f>
        <v>1199.27</v>
      </c>
      <c r="F23" s="59">
        <f>SUM(F8-F9,E23)</f>
        <v>13.340000000003329</v>
      </c>
      <c r="G23" s="59">
        <f>SUM(G8-G9,F23)</f>
        <v>-750.3099999999945</v>
      </c>
      <c r="H23" s="82">
        <f aca="true" t="shared" si="9" ref="H23:M23">SUM(H22+G23)</f>
        <v>-6892.567999999992</v>
      </c>
      <c r="I23" s="78">
        <f t="shared" si="9"/>
        <v>-10425.665999999988</v>
      </c>
      <c r="J23" s="78">
        <f t="shared" si="9"/>
        <v>-11454.493999999988</v>
      </c>
      <c r="K23" s="78">
        <f t="shared" si="9"/>
        <v>-12373.591999999988</v>
      </c>
      <c r="L23" s="78">
        <f t="shared" si="9"/>
        <v>-14019.119999999984</v>
      </c>
      <c r="M23" s="78">
        <f t="shared" si="9"/>
        <v>-13799.518999999984</v>
      </c>
      <c r="N23" s="80">
        <f>SUM(N21+M23)</f>
        <v>-13715.557999999985</v>
      </c>
      <c r="O23" s="80">
        <f aca="true" t="shared" si="10" ref="O23:W23">SUM(O21+N23)</f>
        <v>-13600.256999999985</v>
      </c>
      <c r="P23" s="80">
        <f t="shared" si="10"/>
        <v>-13570.475999999984</v>
      </c>
      <c r="Q23" s="80">
        <f t="shared" si="10"/>
        <v>-13491.354999999985</v>
      </c>
      <c r="R23" s="80">
        <f t="shared" si="10"/>
        <v>-13115.923999999985</v>
      </c>
      <c r="S23" s="80">
        <f t="shared" si="10"/>
        <v>-13078.202999999985</v>
      </c>
      <c r="T23" s="80">
        <f t="shared" si="10"/>
        <v>-12961.621999999985</v>
      </c>
      <c r="U23" s="80">
        <f t="shared" si="10"/>
        <v>-12525.040999999985</v>
      </c>
      <c r="V23" s="80">
        <f t="shared" si="10"/>
        <v>-12595.359999999984</v>
      </c>
      <c r="W23" s="80">
        <f t="shared" si="10"/>
        <v>-12532.548999999985</v>
      </c>
      <c r="X23" s="80">
        <f>SUM(X21+W23)</f>
        <v>-12513.387999999984</v>
      </c>
      <c r="Y23" s="59"/>
      <c r="Z23" s="53"/>
    </row>
    <row r="24" spans="1:26" ht="9.75" customHeight="1" hidden="1" thickBot="1">
      <c r="A24" s="35" t="s">
        <v>40</v>
      </c>
      <c r="B24" s="42" t="s">
        <v>7</v>
      </c>
      <c r="C24" s="39"/>
      <c r="D24" s="43"/>
      <c r="E24" s="43"/>
      <c r="F24" s="39"/>
      <c r="G24" s="39"/>
      <c r="H24" s="39"/>
      <c r="I24" s="39"/>
      <c r="J24" s="39"/>
      <c r="K24" s="39"/>
      <c r="L24" s="39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20"/>
      <c r="Y24" s="60"/>
      <c r="Z24" s="54"/>
    </row>
    <row r="25" spans="1:26" ht="15" customHeight="1" hidden="1" thickBot="1">
      <c r="A25" s="35" t="s">
        <v>41</v>
      </c>
      <c r="B25" s="32" t="s">
        <v>24</v>
      </c>
      <c r="C25" s="39"/>
      <c r="D25" s="43"/>
      <c r="E25" s="43"/>
      <c r="F25" s="39"/>
      <c r="G25" s="39"/>
      <c r="H25" s="39"/>
      <c r="I25" s="39"/>
      <c r="J25" s="39"/>
      <c r="K25" s="39"/>
      <c r="L25" s="39"/>
      <c r="M25" s="13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20"/>
      <c r="Y25" s="59"/>
      <c r="Z25" s="55"/>
    </row>
    <row r="26" spans="1:26" ht="24" customHeight="1" hidden="1" thickBot="1">
      <c r="A26" s="36" t="s">
        <v>42</v>
      </c>
      <c r="B26" s="33" t="s">
        <v>46</v>
      </c>
      <c r="C26" s="40"/>
      <c r="D26" s="44"/>
      <c r="E26" s="44"/>
      <c r="F26" s="40"/>
      <c r="G26" s="40"/>
      <c r="H26" s="40"/>
      <c r="I26" s="40"/>
      <c r="J26" s="40"/>
      <c r="K26" s="40"/>
      <c r="L26" s="40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5">
        <f>SUM(X22-X24)</f>
        <v>1505.7319999999986</v>
      </c>
      <c r="Y26" s="61"/>
      <c r="Z26" s="56"/>
    </row>
    <row r="27" spans="1:26" ht="24" customHeight="1" hidden="1" thickBot="1">
      <c r="A27" s="36" t="s">
        <v>45</v>
      </c>
      <c r="B27" s="33" t="s">
        <v>25</v>
      </c>
      <c r="C27" s="40"/>
      <c r="D27" s="44"/>
      <c r="E27" s="44"/>
      <c r="F27" s="40"/>
      <c r="G27" s="40"/>
      <c r="H27" s="40"/>
      <c r="I27" s="40"/>
      <c r="J27" s="40"/>
      <c r="K27" s="40"/>
      <c r="L27" s="4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5">
        <f>SUM(X23-X24)</f>
        <v>-12513.387999999984</v>
      </c>
      <c r="Y27" s="61"/>
      <c r="Z27" s="56"/>
    </row>
    <row r="28" spans="3:26" ht="0.75" customHeight="1" hidden="1"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30" ht="12.75" hidden="1"/>
    <row r="31" ht="12.75" hidden="1"/>
    <row r="32" ht="12.75" hidden="1"/>
    <row r="33" ht="12.75">
      <c r="B33" t="s">
        <v>61</v>
      </c>
    </row>
    <row r="37" ht="12.75" customHeight="1"/>
    <row r="38" ht="12.75" customHeight="1"/>
  </sheetData>
  <sheetProtection/>
  <mergeCells count="5">
    <mergeCell ref="B4:Z4"/>
    <mergeCell ref="B5:Z5"/>
    <mergeCell ref="B3:Z3"/>
    <mergeCell ref="B1:O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2020-02-20T12:44:10Z</cp:lastPrinted>
  <dcterms:created xsi:type="dcterms:W3CDTF">2011-06-16T11:06:26Z</dcterms:created>
  <dcterms:modified xsi:type="dcterms:W3CDTF">2020-02-20T12:44:13Z</dcterms:modified>
  <cp:category/>
  <cp:version/>
  <cp:contentType/>
  <cp:contentStatus/>
</cp:coreProperties>
</file>