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<sst xmlns="http://schemas.openxmlformats.org/spreadsheetml/2006/main" count="68" uniqueCount="67">
  <si>
    <t>СПРАВКА</t>
  </si>
  <si>
    <t xml:space="preserve">Начислено  </t>
  </si>
  <si>
    <t>Расходы</t>
  </si>
  <si>
    <t>Услуги РИРЦ</t>
  </si>
  <si>
    <t>Вывоз ТБО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</si>
  <si>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</si>
  <si>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</si>
  <si>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</si>
  <si>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</si>
  <si>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</si>
  <si>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</si>
  <si>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</si>
  <si>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</si>
  <si>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</si>
  <si>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</si>
  <si>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</si>
  <si>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</si>
  <si>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</si>
  <si>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</si>
  <si>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</si>
  <si>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</si>
  <si>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</si>
  <si>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</si>
  <si>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</si>
  <si>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</si>
  <si>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</si>
  <si>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</si>
  <si>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</si>
  <si>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</si>
  <si>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</si>
  <si>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</si>
  <si>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4.5</t>
  </si>
  <si>
    <t>4.9</t>
  </si>
  <si>
    <t>4.10</t>
  </si>
  <si>
    <t>4.11</t>
  </si>
  <si>
    <t>5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</si>
  <si>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</si>
  <si>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</si>
  <si>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</si>
  <si>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</si>
  <si>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</si>
  <si>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</si>
  <si>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</si>
  <si>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Мира д.6</t>
  </si>
  <si>
    <t>Итого за 2011 г</t>
  </si>
  <si>
    <t>Результат за месяц</t>
  </si>
  <si>
    <t>Итого за 2012 г</t>
  </si>
  <si>
    <t>Благоустройство территории</t>
  </si>
  <si>
    <t>4.12</t>
  </si>
  <si>
    <t>4.13</t>
  </si>
  <si>
    <t>Итого за 2013 г</t>
  </si>
  <si>
    <t>Итого за 2014 г</t>
  </si>
  <si>
    <t>рентабельность 5%</t>
  </si>
  <si>
    <t>Итого за 2015 г</t>
  </si>
  <si>
    <t>Материалы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</si>
  <si>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</si>
  <si>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</si>
  <si>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</si>
  <si>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</si>
  <si>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вед. экономист /Викторова Л.С/</t>
  </si>
  <si>
    <t>Итого за 2016 г</t>
  </si>
  <si>
    <t>Итого за 2017 г</t>
  </si>
  <si>
    <t>Итого за 2018 г</t>
  </si>
  <si>
    <t>Итого за 2019 г</t>
  </si>
  <si>
    <t>Всего за 2010-2019</t>
  </si>
  <si>
    <t>Дом по ул. Мира д.6 вступил в ООО "Наш дом" с октября 2010 года      тариф 8,3 руб с января 2019 года тариф 7,8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</si>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</sst>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5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7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0" fontId="25" fillId="0" borderId="32" xfId="0" applyFont="1" applyBorder="1" applyAlignment="1">
      <alignment/>
    </xf>
    <xf numFmtId="2" fontId="25" fillId="0" borderId="35" xfId="0" applyNumberFormat="1" applyFont="1" applyBorder="1" applyAlignment="1">
      <alignment/>
    </xf>
    <xf numFmtId="0" fontId="21" fillId="0" borderId="38" xfId="0" applyFont="1" applyBorder="1" applyAlignment="1">
      <alignment wrapText="1"/>
    </xf>
    <xf numFmtId="2" fontId="21" fillId="0" borderId="39" xfId="0" applyNumberFormat="1" applyFont="1" applyBorder="1" applyAlignment="1">
      <alignment horizontal="right" wrapText="1"/>
    </xf>
    <xf numFmtId="2" fontId="25" fillId="0" borderId="40" xfId="0" applyNumberFormat="1" applyFont="1" applyBorder="1" applyAlignment="1">
      <alignment/>
    </xf>
    <xf numFmtId="0" fontId="26" fillId="0" borderId="32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6" fillId="0" borderId="41" xfId="0" applyFont="1" applyBorder="1" applyAlignment="1">
      <alignment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0" fontId="21" fillId="0" borderId="46" xfId="0" applyFont="1" applyBorder="1" applyAlignment="1">
      <alignment/>
    </xf>
    <xf numFmtId="2" fontId="21" fillId="0" borderId="35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0" fontId="21" fillId="0" borderId="27" xfId="0" applyFont="1" applyBorder="1" applyAlignment="1">
      <alignment/>
    </xf>
    <xf numFmtId="2" fontId="21" fillId="0" borderId="35" xfId="0" applyNumberFormat="1" applyFont="1" applyBorder="1" applyAlignment="1">
      <alignment/>
    </xf>
    <xf numFmtId="0" fontId="19" fillId="0" borderId="47" xfId="0" applyFont="1" applyBorder="1" applyAlignment="1">
      <alignment horizontal="center" vertical="center" wrapText="1"/>
    </xf>
    <xf numFmtId="0" fontId="26" fillId="0" borderId="42" xfId="0" applyFont="1" applyBorder="1" applyAlignment="1">
      <alignment wrapText="1"/>
    </xf>
    <xf numFmtId="0" fontId="21" fillId="0" borderId="39" xfId="0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7" fillId="0" borderId="35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47" xfId="0" applyFont="1" applyBorder="1" applyAlignment="1">
      <alignment/>
    </xf>
    <xf numFmtId="0" fontId="27" fillId="0" borderId="11" xfId="0" applyFont="1" applyBorder="1" applyAlignment="1">
      <alignment/>
    </xf>
    <xf numFmtId="2" fontId="28" fillId="0" borderId="35" xfId="0" applyNumberFormat="1" applyFont="1" applyBorder="1" applyAlignment="1">
      <alignment/>
    </xf>
    <xf numFmtId="0" fontId="22" fillId="0" borderId="0" xfId="0" applyFont="1" applyAlignment="1">
      <alignment/>
    </xf>
    <xf numFmtId="0" fontId="27" fillId="0" borderId="40" xfId="0" applyFont="1" applyBorder="1" applyAlignment="1">
      <alignment wrapText="1"/>
    </xf>
    <xf numFmtId="0" fontId="27" fillId="0" borderId="48" xfId="0" applyFont="1" applyBorder="1" applyAlignment="1">
      <alignment wrapText="1"/>
    </xf>
    <xf numFmtId="0" fontId="27" fillId="0" borderId="49" xfId="0" applyFont="1" applyBorder="1" applyAlignment="1">
      <alignment/>
    </xf>
    <xf numFmtId="0" fontId="27" fillId="0" borderId="48" xfId="0" applyFont="1" applyBorder="1" applyAlignment="1">
      <alignment/>
    </xf>
    <xf numFmtId="0" fontId="27" fillId="0" borderId="50" xfId="0" applyFont="1" applyBorder="1" applyAlignment="1">
      <alignment/>
    </xf>
    <xf numFmtId="0" fontId="27" fillId="0" borderId="51" xfId="0" applyFont="1" applyBorder="1" applyAlignment="1">
      <alignment/>
    </xf>
    <xf numFmtId="0" fontId="22" fillId="0" borderId="4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PageLayoutView="0" workbookViewId="0" topLeftCell="A7">
      <selection activeCell="B2" sqref="B2:W2"/>
    </sheetView>
  </sheetViews>
  <sheetFormatPr defaultColWidth="9.00390625" defaultRowHeight="12.75"/>
  <cols>
    <col min="1" max="1" width="4.25390625" style="27" customWidth="1"/>
    <col min="2" max="2" width="18.875" style="0" customWidth="1"/>
    <col min="3" max="3" width="7.125" style="0" hidden="1" customWidth="1"/>
    <col min="4" max="4" width="8.125" style="0" hidden="1" customWidth="1"/>
    <col min="5" max="5" width="8.875" style="0" hidden="1" customWidth="1"/>
    <col min="6" max="6" width="3.00390625" style="0" hidden="1" customWidth="1"/>
    <col min="7" max="7" width="0.12890625" style="0" hidden="1" customWidth="1"/>
    <col min="8" max="8" width="9.75390625" style="0" hidden="1" customWidth="1"/>
    <col min="9" max="9" width="10.25390625" style="0" hidden="1" customWidth="1"/>
    <col min="10" max="10" width="8.875" style="0" hidden="1" customWidth="1"/>
    <col min="11" max="11" width="10.00390625" style="0" hidden="1" customWidth="1"/>
    <col min="12" max="12" width="8.25390625" style="0" customWidth="1"/>
    <col min="13" max="13" width="8.75390625" style="0" customWidth="1"/>
    <col min="14" max="14" width="9.00390625" style="0" customWidth="1"/>
    <col min="15" max="15" width="7.875" style="0" customWidth="1"/>
    <col min="16" max="16" width="8.375" style="0" customWidth="1"/>
    <col min="17" max="17" width="8.75390625" style="0" customWidth="1"/>
    <col min="18" max="18" width="9.25390625" style="0" customWidth="1"/>
    <col min="19" max="19" width="8.625" style="0" customWidth="1"/>
    <col min="20" max="20" width="8.875" style="0" customWidth="1"/>
    <col min="21" max="21" width="8.125" style="0" customWidth="1"/>
    <col min="22" max="22" width="8.375" style="0" customWidth="1"/>
    <col min="23" max="23" width="8.625" style="0" customWidth="1"/>
    <col min="24" max="24" width="9.00390625" style="0" customWidth="1"/>
    <col min="25" max="25" width="9.875" style="0" customWidth="1"/>
  </cols>
  <sheetData>
    <row r="1" spans="2:30" ht="12.75" customHeight="1">
      <c r="B1" s="93" t="s">
        <v>66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 customHeight="1">
      <c r="B2" s="93" t="s">
        <v>65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  <c r="W2" s="94"/>
      <c r="X2" s="4"/>
      <c r="Y2" s="4"/>
      <c r="Z2" s="4"/>
      <c r="AA2" s="4"/>
      <c r="AB2" s="4"/>
      <c r="AC2" s="4"/>
      <c r="AD2" s="4"/>
    </row>
    <row r="3" spans="2:30" ht="12.75" customHeight="1">
      <c r="B3" s="92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3"/>
      <c r="AA3" s="3"/>
      <c r="AB3" s="3"/>
      <c r="AC3" s="3"/>
      <c r="AD3" s="3"/>
    </row>
    <row r="4" spans="2:30" ht="15" customHeight="1">
      <c r="B4" s="91" t="s">
        <v>8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2"/>
      <c r="AA4" s="2"/>
      <c r="AB4" s="2"/>
      <c r="AC4" s="2"/>
      <c r="AD4" s="2"/>
    </row>
    <row r="5" spans="2:30" ht="16.5" customHeight="1">
      <c r="B5" s="91" t="s">
        <v>43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2"/>
      <c r="AA5" s="2"/>
      <c r="AB5" s="2"/>
      <c r="AC5" s="2"/>
      <c r="AD5" s="2"/>
    </row>
    <row r="6" spans="2:30" ht="16.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2"/>
      <c r="AC6" s="2"/>
      <c r="AD6" s="2"/>
    </row>
    <row r="7" spans="1:30" ht="41.25" customHeight="1" thickBot="1">
      <c r="A7" s="35" t="s">
        <v>25</v>
      </c>
      <c r="B7" s="28" t="s">
        <v>5</v>
      </c>
      <c r="C7" s="38" t="s">
        <v>40</v>
      </c>
      <c r="D7" s="50" t="s">
        <v>44</v>
      </c>
      <c r="E7" s="50" t="s">
        <v>46</v>
      </c>
      <c r="F7" s="50" t="s">
        <v>50</v>
      </c>
      <c r="G7" s="73" t="s">
        <v>51</v>
      </c>
      <c r="H7" s="50" t="s">
        <v>53</v>
      </c>
      <c r="I7" s="50" t="s">
        <v>60</v>
      </c>
      <c r="J7" s="50" t="s">
        <v>61</v>
      </c>
      <c r="K7" s="50" t="s">
        <v>62</v>
      </c>
      <c r="L7" s="6" t="s">
        <v>9</v>
      </c>
      <c r="M7" s="5" t="s">
        <v>10</v>
      </c>
      <c r="N7" s="5" t="s">
        <v>11</v>
      </c>
      <c r="O7" s="5" t="s">
        <v>12</v>
      </c>
      <c r="P7" s="5" t="s">
        <v>13</v>
      </c>
      <c r="Q7" s="5" t="s">
        <v>14</v>
      </c>
      <c r="R7" s="5" t="s">
        <v>15</v>
      </c>
      <c r="S7" s="5" t="s">
        <v>16</v>
      </c>
      <c r="T7" s="5" t="s">
        <v>17</v>
      </c>
      <c r="U7" s="5" t="s">
        <v>18</v>
      </c>
      <c r="V7" s="5" t="s">
        <v>20</v>
      </c>
      <c r="W7" s="16" t="s">
        <v>19</v>
      </c>
      <c r="X7" s="50" t="s">
        <v>63</v>
      </c>
      <c r="Y7" s="45" t="s">
        <v>64</v>
      </c>
      <c r="Z7" s="1"/>
      <c r="AA7" s="1"/>
      <c r="AB7" s="1"/>
      <c r="AC7" s="1"/>
      <c r="AD7" s="1"/>
    </row>
    <row r="8" spans="1:25" ht="13.5" thickBot="1">
      <c r="A8" s="36" t="s">
        <v>26</v>
      </c>
      <c r="B8" s="29" t="s">
        <v>1</v>
      </c>
      <c r="C8" s="60">
        <v>3764.88</v>
      </c>
      <c r="D8" s="63">
        <v>15049.56</v>
      </c>
      <c r="E8" s="60">
        <v>15019.68</v>
      </c>
      <c r="F8" s="60">
        <v>14953.28</v>
      </c>
      <c r="G8" s="74">
        <v>14940</v>
      </c>
      <c r="H8" s="60">
        <v>14940</v>
      </c>
      <c r="I8" s="60">
        <v>14940</v>
      </c>
      <c r="J8" s="60">
        <v>14940</v>
      </c>
      <c r="K8" s="60">
        <v>14940</v>
      </c>
      <c r="L8" s="7">
        <v>1170</v>
      </c>
      <c r="M8" s="7">
        <v>1170</v>
      </c>
      <c r="N8" s="7">
        <v>1170</v>
      </c>
      <c r="O8" s="7">
        <v>1170</v>
      </c>
      <c r="P8" s="7">
        <v>1170</v>
      </c>
      <c r="Q8" s="7">
        <v>1170</v>
      </c>
      <c r="R8" s="7">
        <v>1170</v>
      </c>
      <c r="S8" s="7">
        <v>1170</v>
      </c>
      <c r="T8" s="7">
        <v>1170</v>
      </c>
      <c r="U8" s="7">
        <v>1170</v>
      </c>
      <c r="V8" s="7">
        <v>1170</v>
      </c>
      <c r="W8" s="7">
        <v>1170</v>
      </c>
      <c r="X8" s="51">
        <f>SUM(L8:W8)</f>
        <v>14040</v>
      </c>
      <c r="Y8" s="55">
        <f>SUM(C8:W8)</f>
        <v>137527.4</v>
      </c>
    </row>
    <row r="9" spans="1:25" s="83" customFormat="1" ht="13.5" thickBot="1">
      <c r="A9" s="76" t="s">
        <v>27</v>
      </c>
      <c r="B9" s="77" t="s">
        <v>2</v>
      </c>
      <c r="C9" s="78">
        <f aca="true" t="shared" si="0" ref="C9:L9">SUM(C10:C18)</f>
        <v>1973.58</v>
      </c>
      <c r="D9" s="79">
        <f t="shared" si="0"/>
        <v>19241.499999999996</v>
      </c>
      <c r="E9" s="78">
        <f t="shared" si="0"/>
        <v>12280.969999999998</v>
      </c>
      <c r="F9" s="78">
        <f t="shared" si="0"/>
        <v>13662.5</v>
      </c>
      <c r="G9" s="80">
        <f t="shared" si="0"/>
        <v>13847.27</v>
      </c>
      <c r="H9" s="78">
        <f>SUM(H10:H18)</f>
        <v>9484.499999999998</v>
      </c>
      <c r="I9" s="78">
        <f>SUM(I10:I18)</f>
        <v>13484.810000000001</v>
      </c>
      <c r="J9" s="78">
        <f>SUM(J10:J18)</f>
        <v>12266.050000000001</v>
      </c>
      <c r="K9" s="78">
        <f t="shared" si="0"/>
        <v>12443.820000000002</v>
      </c>
      <c r="L9" s="81">
        <f t="shared" si="0"/>
        <v>1085.43</v>
      </c>
      <c r="M9" s="81">
        <f aca="true" t="shared" si="1" ref="M9:W9">SUM(M10:M18)</f>
        <v>1031.04</v>
      </c>
      <c r="N9" s="81">
        <f t="shared" si="1"/>
        <v>999.1299999999999</v>
      </c>
      <c r="O9" s="81">
        <f t="shared" si="1"/>
        <v>1384.2699999999998</v>
      </c>
      <c r="P9" s="81">
        <f t="shared" si="1"/>
        <v>1053.82</v>
      </c>
      <c r="Q9" s="81">
        <f t="shared" si="1"/>
        <v>1018.82</v>
      </c>
      <c r="R9" s="81">
        <f t="shared" si="1"/>
        <v>1379.18</v>
      </c>
      <c r="S9" s="81">
        <f t="shared" si="1"/>
        <v>1571.8000000000002</v>
      </c>
      <c r="T9" s="81">
        <f t="shared" si="1"/>
        <v>1241.41</v>
      </c>
      <c r="U9" s="81">
        <f t="shared" si="1"/>
        <v>1152.28</v>
      </c>
      <c r="V9" s="81">
        <f t="shared" si="1"/>
        <v>1041.98</v>
      </c>
      <c r="W9" s="79">
        <f t="shared" si="1"/>
        <v>1092.69</v>
      </c>
      <c r="X9" s="78">
        <f>SUM(L9:W9)</f>
        <v>14051.85</v>
      </c>
      <c r="Y9" s="82">
        <f>SUM(C9:W9)</f>
        <v>122736.85</v>
      </c>
    </row>
    <row r="10" spans="1:25" ht="13.5" thickBot="1">
      <c r="A10" s="36" t="s">
        <v>28</v>
      </c>
      <c r="B10" s="30" t="s">
        <v>4</v>
      </c>
      <c r="C10" s="42">
        <v>14.63</v>
      </c>
      <c r="D10" s="64">
        <v>1816.32</v>
      </c>
      <c r="E10" s="42">
        <v>778.6</v>
      </c>
      <c r="F10" s="42">
        <v>407.18</v>
      </c>
      <c r="G10" s="64">
        <v>2519.05</v>
      </c>
      <c r="H10" s="42">
        <v>852.68</v>
      </c>
      <c r="I10" s="42">
        <v>451.43</v>
      </c>
      <c r="J10" s="42">
        <v>350.53</v>
      </c>
      <c r="K10" s="42">
        <v>389.59</v>
      </c>
      <c r="L10" s="7"/>
      <c r="M10" s="8"/>
      <c r="N10" s="8"/>
      <c r="O10" s="8">
        <v>11.17</v>
      </c>
      <c r="P10" s="8">
        <v>8.54</v>
      </c>
      <c r="Q10" s="8">
        <v>3.53</v>
      </c>
      <c r="R10" s="8">
        <v>9.31</v>
      </c>
      <c r="S10" s="8">
        <v>6.88</v>
      </c>
      <c r="T10" s="8">
        <v>1.72</v>
      </c>
      <c r="U10" s="8">
        <v>6.16</v>
      </c>
      <c r="V10" s="8">
        <v>5.13</v>
      </c>
      <c r="W10" s="17">
        <v>3.47</v>
      </c>
      <c r="X10" s="52">
        <f aca="true" t="shared" si="2" ref="X10:X20">SUM(L10:W10)</f>
        <v>55.910000000000004</v>
      </c>
      <c r="Y10" s="56">
        <f aca="true" t="shared" si="3" ref="Y10:Y18">SUM(C10:W10)</f>
        <v>7635.920000000002</v>
      </c>
    </row>
    <row r="11" spans="1:25" ht="15" customHeight="1" thickBot="1">
      <c r="A11" s="36" t="s">
        <v>29</v>
      </c>
      <c r="B11" s="31" t="s">
        <v>55</v>
      </c>
      <c r="C11" s="43">
        <v>27.81</v>
      </c>
      <c r="D11" s="65">
        <v>1521.94</v>
      </c>
      <c r="E11" s="43">
        <v>307.09</v>
      </c>
      <c r="F11" s="43">
        <v>2045.72</v>
      </c>
      <c r="G11" s="65">
        <v>787.12</v>
      </c>
      <c r="H11" s="43">
        <v>2121.54</v>
      </c>
      <c r="I11" s="43">
        <v>1618.04</v>
      </c>
      <c r="J11" s="43">
        <v>397.84</v>
      </c>
      <c r="K11" s="43">
        <v>0</v>
      </c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8"/>
      <c r="X11" s="52">
        <f t="shared" si="2"/>
        <v>0</v>
      </c>
      <c r="Y11" s="56">
        <f t="shared" si="3"/>
        <v>8827.1</v>
      </c>
    </row>
    <row r="12" spans="1:25" ht="16.5" customHeight="1" thickBot="1">
      <c r="A12" s="36" t="s">
        <v>30</v>
      </c>
      <c r="B12" s="31" t="s">
        <v>54</v>
      </c>
      <c r="C12" s="43">
        <v>21</v>
      </c>
      <c r="D12" s="65">
        <v>6454.36</v>
      </c>
      <c r="E12" s="43">
        <v>159.03</v>
      </c>
      <c r="F12" s="43">
        <v>600</v>
      </c>
      <c r="G12" s="65">
        <v>96.58</v>
      </c>
      <c r="H12" s="43">
        <v>2279.21</v>
      </c>
      <c r="I12" s="43">
        <v>659.26</v>
      </c>
      <c r="J12" s="43">
        <v>414.1</v>
      </c>
      <c r="K12" s="43">
        <v>250</v>
      </c>
      <c r="L12" s="9"/>
      <c r="M12" s="10"/>
      <c r="N12" s="10"/>
      <c r="O12" s="10">
        <v>300</v>
      </c>
      <c r="P12" s="10"/>
      <c r="Q12" s="10"/>
      <c r="R12" s="10">
        <v>200</v>
      </c>
      <c r="S12" s="10">
        <v>385</v>
      </c>
      <c r="T12" s="10">
        <v>250</v>
      </c>
      <c r="U12" s="10"/>
      <c r="V12" s="10"/>
      <c r="W12" s="18"/>
      <c r="X12" s="52">
        <f t="shared" si="2"/>
        <v>1135</v>
      </c>
      <c r="Y12" s="56">
        <f t="shared" si="3"/>
        <v>12068.54</v>
      </c>
    </row>
    <row r="13" spans="1:25" ht="22.5" customHeight="1" thickBot="1">
      <c r="A13" s="36" t="s">
        <v>31</v>
      </c>
      <c r="B13" s="31" t="s">
        <v>47</v>
      </c>
      <c r="C13" s="43">
        <v>97.18</v>
      </c>
      <c r="D13" s="65">
        <v>0</v>
      </c>
      <c r="E13" s="43">
        <v>256</v>
      </c>
      <c r="F13" s="43">
        <v>0</v>
      </c>
      <c r="G13" s="65">
        <v>5.33</v>
      </c>
      <c r="H13" s="43">
        <v>0</v>
      </c>
      <c r="I13" s="43">
        <v>51</v>
      </c>
      <c r="J13" s="43">
        <v>8</v>
      </c>
      <c r="K13" s="43">
        <v>0</v>
      </c>
      <c r="L13" s="9">
        <v>17.6</v>
      </c>
      <c r="M13" s="10">
        <v>9</v>
      </c>
      <c r="N13" s="10"/>
      <c r="O13" s="10"/>
      <c r="P13" s="10"/>
      <c r="Q13" s="10"/>
      <c r="R13" s="10"/>
      <c r="S13" s="10"/>
      <c r="T13" s="10"/>
      <c r="U13" s="10"/>
      <c r="V13" s="10"/>
      <c r="W13" s="18"/>
      <c r="X13" s="52">
        <f t="shared" si="2"/>
        <v>26.6</v>
      </c>
      <c r="Y13" s="56">
        <f t="shared" si="3"/>
        <v>444.11</v>
      </c>
    </row>
    <row r="14" spans="1:25" ht="36" customHeight="1" thickBot="1">
      <c r="A14" s="36" t="s">
        <v>32</v>
      </c>
      <c r="B14" s="31" t="s">
        <v>56</v>
      </c>
      <c r="C14" s="43">
        <v>119.5</v>
      </c>
      <c r="D14" s="65">
        <v>733.47</v>
      </c>
      <c r="E14" s="43">
        <v>1591.56</v>
      </c>
      <c r="F14" s="43">
        <v>928.89</v>
      </c>
      <c r="G14" s="65">
        <v>611.23</v>
      </c>
      <c r="H14" s="43">
        <v>720.9</v>
      </c>
      <c r="I14" s="43">
        <v>762.33</v>
      </c>
      <c r="J14" s="43">
        <v>774.5</v>
      </c>
      <c r="K14" s="43">
        <v>813.9</v>
      </c>
      <c r="L14" s="9">
        <v>65.56</v>
      </c>
      <c r="M14" s="10">
        <v>68.72</v>
      </c>
      <c r="N14" s="10">
        <v>54.56</v>
      </c>
      <c r="O14" s="10">
        <v>65.35</v>
      </c>
      <c r="P14" s="10">
        <v>54.36</v>
      </c>
      <c r="Q14" s="10">
        <v>41.68</v>
      </c>
      <c r="R14" s="10">
        <v>43.57</v>
      </c>
      <c r="S14" s="10">
        <v>36.93</v>
      </c>
      <c r="T14" s="10">
        <v>41.52</v>
      </c>
      <c r="U14" s="10">
        <v>85.98</v>
      </c>
      <c r="V14" s="10">
        <v>54.37</v>
      </c>
      <c r="W14" s="18">
        <v>46.26</v>
      </c>
      <c r="X14" s="52">
        <f t="shared" si="2"/>
        <v>658.86</v>
      </c>
      <c r="Y14" s="56">
        <f t="shared" si="3"/>
        <v>7715.14</v>
      </c>
    </row>
    <row r="15" spans="1:25" ht="36.75" customHeight="1" thickBot="1">
      <c r="A15" s="36" t="s">
        <v>33</v>
      </c>
      <c r="B15" s="31" t="s">
        <v>57</v>
      </c>
      <c r="C15" s="43">
        <v>219.88</v>
      </c>
      <c r="D15" s="65">
        <v>399.47</v>
      </c>
      <c r="E15" s="43">
        <v>119.56</v>
      </c>
      <c r="F15" s="43">
        <v>84.6</v>
      </c>
      <c r="G15" s="65">
        <v>183.87</v>
      </c>
      <c r="H15" s="43">
        <v>124.23</v>
      </c>
      <c r="I15" s="43">
        <v>108.44</v>
      </c>
      <c r="J15" s="43">
        <v>84.69</v>
      </c>
      <c r="K15" s="43">
        <v>82.09</v>
      </c>
      <c r="L15" s="9">
        <v>5.19</v>
      </c>
      <c r="M15" s="10">
        <v>4.47</v>
      </c>
      <c r="N15" s="10">
        <v>3.9</v>
      </c>
      <c r="O15" s="10">
        <v>4.53</v>
      </c>
      <c r="P15" s="10">
        <v>0.48</v>
      </c>
      <c r="Q15" s="10">
        <v>6.8</v>
      </c>
      <c r="R15" s="10">
        <v>7.62</v>
      </c>
      <c r="S15" s="10">
        <v>8.88</v>
      </c>
      <c r="T15" s="10">
        <v>13.2</v>
      </c>
      <c r="U15" s="10">
        <v>3.26</v>
      </c>
      <c r="V15" s="10">
        <v>12.04</v>
      </c>
      <c r="W15" s="18">
        <v>4.24</v>
      </c>
      <c r="X15" s="52">
        <f t="shared" si="2"/>
        <v>74.61</v>
      </c>
      <c r="Y15" s="56">
        <f t="shared" si="3"/>
        <v>1481.4400000000003</v>
      </c>
    </row>
    <row r="16" spans="1:25" ht="36" customHeight="1" thickBot="1">
      <c r="A16" s="36" t="s">
        <v>34</v>
      </c>
      <c r="B16" s="31" t="s">
        <v>58</v>
      </c>
      <c r="C16" s="43">
        <v>17.5</v>
      </c>
      <c r="D16" s="65">
        <v>1128.73</v>
      </c>
      <c r="E16" s="43">
        <v>621.51</v>
      </c>
      <c r="F16" s="43">
        <v>840.07</v>
      </c>
      <c r="G16" s="65">
        <v>713</v>
      </c>
      <c r="H16" s="43">
        <v>951.73</v>
      </c>
      <c r="I16" s="43">
        <v>793.25</v>
      </c>
      <c r="J16" s="43">
        <v>835.55</v>
      </c>
      <c r="K16" s="43">
        <v>915.27</v>
      </c>
      <c r="L16" s="9">
        <f>3.24+31.37+38.64</f>
        <v>73.25</v>
      </c>
      <c r="M16" s="10">
        <f>3.05+43.71+37.46</f>
        <v>84.22</v>
      </c>
      <c r="N16" s="10">
        <f>39.07+2.65+29.14</f>
        <v>70.86</v>
      </c>
      <c r="O16" s="10">
        <f>2.84+32.22+103.52</f>
        <v>138.57999999999998</v>
      </c>
      <c r="P16" s="10">
        <f>2.77+35.58+28.06</f>
        <v>66.41</v>
      </c>
      <c r="Q16" s="10">
        <f>3.22+24.76+49.68</f>
        <v>77.66</v>
      </c>
      <c r="R16" s="10">
        <f>3.1+41.94+22.63</f>
        <v>67.67</v>
      </c>
      <c r="S16" s="10">
        <f>2.84+25.78+36.07</f>
        <v>64.69</v>
      </c>
      <c r="T16" s="10">
        <f>2.06+22.93+32.84</f>
        <v>57.83</v>
      </c>
      <c r="U16" s="10">
        <f>2.09+36.73+93.32</f>
        <v>132.14</v>
      </c>
      <c r="V16" s="10">
        <f>2.31+23.09+24.03</f>
        <v>49.43</v>
      </c>
      <c r="W16" s="18">
        <f>2.31+69.84+40.34</f>
        <v>112.49000000000001</v>
      </c>
      <c r="X16" s="52">
        <f t="shared" si="2"/>
        <v>995.2299999999999</v>
      </c>
      <c r="Y16" s="56">
        <f t="shared" si="3"/>
        <v>7811.84</v>
      </c>
    </row>
    <row r="17" spans="1:25" ht="18.75" customHeight="1" thickBot="1">
      <c r="A17" s="36" t="s">
        <v>48</v>
      </c>
      <c r="B17" s="31" t="s">
        <v>7</v>
      </c>
      <c r="C17" s="43">
        <v>1308.84</v>
      </c>
      <c r="D17" s="65">
        <v>6202.2</v>
      </c>
      <c r="E17" s="43">
        <v>7806.57</v>
      </c>
      <c r="F17" s="43">
        <v>8191.2</v>
      </c>
      <c r="G17" s="65">
        <v>8387.67</v>
      </c>
      <c r="H17" s="43">
        <v>1885.31</v>
      </c>
      <c r="I17" s="43">
        <v>8523.94</v>
      </c>
      <c r="J17" s="43">
        <v>8886.17</v>
      </c>
      <c r="K17" s="43">
        <v>9535.85</v>
      </c>
      <c r="L17" s="9">
        <f>1085.43-199.11</f>
        <v>886.32</v>
      </c>
      <c r="M17" s="10">
        <f>1031.04-201.67</f>
        <v>829.37</v>
      </c>
      <c r="N17" s="10">
        <f>999.11-164.56</f>
        <v>834.55</v>
      </c>
      <c r="O17" s="10">
        <f>1384.27-545.87</f>
        <v>838.4</v>
      </c>
      <c r="P17" s="10">
        <f>1053.82-174.06</f>
        <v>879.76</v>
      </c>
      <c r="Q17" s="10">
        <f>1018.82-158.39</f>
        <v>860.4300000000001</v>
      </c>
      <c r="R17" s="10">
        <f>1379.18-484.41</f>
        <v>894.77</v>
      </c>
      <c r="S17" s="10">
        <f>1571.8-711.3</f>
        <v>860.5</v>
      </c>
      <c r="T17" s="10">
        <f>1241.41-406.06</f>
        <v>835.3500000000001</v>
      </c>
      <c r="U17" s="10">
        <f>1152.28-262.81</f>
        <v>889.47</v>
      </c>
      <c r="V17" s="10">
        <f>1041.98-149.67</f>
        <v>892.3100000000001</v>
      </c>
      <c r="W17" s="18">
        <f>1092.69-208.27</f>
        <v>884.4200000000001</v>
      </c>
      <c r="X17" s="52">
        <f t="shared" si="2"/>
        <v>10385.65</v>
      </c>
      <c r="Y17" s="56">
        <f t="shared" si="3"/>
        <v>71113.40000000001</v>
      </c>
    </row>
    <row r="18" spans="1:25" ht="18.75" customHeight="1" thickBot="1">
      <c r="A18" s="36" t="s">
        <v>49</v>
      </c>
      <c r="B18" s="32" t="s">
        <v>3</v>
      </c>
      <c r="C18" s="44">
        <v>147.24</v>
      </c>
      <c r="D18" s="66">
        <v>985.01</v>
      </c>
      <c r="E18" s="44">
        <v>641.05</v>
      </c>
      <c r="F18" s="44">
        <v>564.84</v>
      </c>
      <c r="G18" s="66">
        <v>543.42</v>
      </c>
      <c r="H18" s="44">
        <v>548.9</v>
      </c>
      <c r="I18" s="44">
        <v>517.12</v>
      </c>
      <c r="J18" s="44">
        <v>514.67</v>
      </c>
      <c r="K18" s="44">
        <v>457.12</v>
      </c>
      <c r="L18" s="11">
        <v>37.51</v>
      </c>
      <c r="M18" s="12">
        <v>35.26</v>
      </c>
      <c r="N18" s="12">
        <v>35.26</v>
      </c>
      <c r="O18" s="12">
        <v>26.24</v>
      </c>
      <c r="P18" s="12">
        <v>44.27</v>
      </c>
      <c r="Q18" s="12">
        <v>28.72</v>
      </c>
      <c r="R18" s="12">
        <v>156.24</v>
      </c>
      <c r="S18" s="12">
        <v>208.92</v>
      </c>
      <c r="T18" s="12">
        <v>41.79</v>
      </c>
      <c r="U18" s="12">
        <v>35.27</v>
      </c>
      <c r="V18" s="12">
        <v>28.7</v>
      </c>
      <c r="W18" s="20">
        <v>41.81</v>
      </c>
      <c r="X18" s="52">
        <f t="shared" si="2"/>
        <v>719.99</v>
      </c>
      <c r="Y18" s="56">
        <f t="shared" si="3"/>
        <v>5639.3600000000015</v>
      </c>
    </row>
    <row r="19" spans="1:25" ht="18.75" customHeight="1" thickBot="1">
      <c r="A19" s="36"/>
      <c r="B19" s="39" t="s">
        <v>52</v>
      </c>
      <c r="C19" s="69"/>
      <c r="D19" s="70"/>
      <c r="E19" s="69"/>
      <c r="F19" s="69"/>
      <c r="G19" s="19">
        <f aca="true" t="shared" si="4" ref="G19:L19">G8*5%</f>
        <v>747</v>
      </c>
      <c r="H19" s="52">
        <f t="shared" si="4"/>
        <v>747</v>
      </c>
      <c r="I19" s="71">
        <f t="shared" si="4"/>
        <v>747</v>
      </c>
      <c r="J19" s="52">
        <f t="shared" si="4"/>
        <v>747</v>
      </c>
      <c r="K19" s="52">
        <f t="shared" si="4"/>
        <v>747</v>
      </c>
      <c r="L19" s="71">
        <f t="shared" si="4"/>
        <v>58.5</v>
      </c>
      <c r="M19" s="71">
        <f aca="true" t="shared" si="5" ref="M19:W19">M8*5%</f>
        <v>58.5</v>
      </c>
      <c r="N19" s="71">
        <f t="shared" si="5"/>
        <v>58.5</v>
      </c>
      <c r="O19" s="71">
        <f t="shared" si="5"/>
        <v>58.5</v>
      </c>
      <c r="P19" s="71">
        <f t="shared" si="5"/>
        <v>58.5</v>
      </c>
      <c r="Q19" s="71">
        <f t="shared" si="5"/>
        <v>58.5</v>
      </c>
      <c r="R19" s="71">
        <f t="shared" si="5"/>
        <v>58.5</v>
      </c>
      <c r="S19" s="71">
        <f t="shared" si="5"/>
        <v>58.5</v>
      </c>
      <c r="T19" s="71">
        <f t="shared" si="5"/>
        <v>58.5</v>
      </c>
      <c r="U19" s="71">
        <f t="shared" si="5"/>
        <v>58.5</v>
      </c>
      <c r="V19" s="71">
        <f t="shared" si="5"/>
        <v>58.5</v>
      </c>
      <c r="W19" s="71">
        <f t="shared" si="5"/>
        <v>58.5</v>
      </c>
      <c r="X19" s="72">
        <f t="shared" si="2"/>
        <v>702</v>
      </c>
      <c r="Y19" s="59"/>
    </row>
    <row r="20" spans="1:25" ht="19.5" customHeight="1" thickBot="1">
      <c r="A20" s="36" t="s">
        <v>35</v>
      </c>
      <c r="B20" s="57" t="s">
        <v>45</v>
      </c>
      <c r="C20" s="58"/>
      <c r="D20" s="67"/>
      <c r="E20" s="58"/>
      <c r="F20" s="58"/>
      <c r="G20" s="67"/>
      <c r="H20" s="58"/>
      <c r="I20" s="58"/>
      <c r="J20" s="75">
        <f aca="true" t="shared" si="6" ref="J20:W20">SUM(J8-J9)-J19</f>
        <v>1926.949999999999</v>
      </c>
      <c r="K20" s="75">
        <f>SUM(K8-K9)-K19</f>
        <v>1749.1799999999985</v>
      </c>
      <c r="L20" s="68">
        <f t="shared" si="6"/>
        <v>26.069999999999936</v>
      </c>
      <c r="M20" s="68">
        <f t="shared" si="6"/>
        <v>80.46000000000004</v>
      </c>
      <c r="N20" s="68">
        <f t="shared" si="6"/>
        <v>112.37000000000012</v>
      </c>
      <c r="O20" s="68">
        <f t="shared" si="6"/>
        <v>-272.76999999999975</v>
      </c>
      <c r="P20" s="68">
        <f t="shared" si="6"/>
        <v>57.680000000000064</v>
      </c>
      <c r="Q20" s="68">
        <f t="shared" si="6"/>
        <v>92.67999999999995</v>
      </c>
      <c r="R20" s="68">
        <f t="shared" si="6"/>
        <v>-267.68000000000006</v>
      </c>
      <c r="S20" s="68">
        <f t="shared" si="6"/>
        <v>-460.3000000000002</v>
      </c>
      <c r="T20" s="68">
        <f t="shared" si="6"/>
        <v>-129.91000000000008</v>
      </c>
      <c r="U20" s="68">
        <f t="shared" si="6"/>
        <v>-40.77999999999997</v>
      </c>
      <c r="V20" s="68">
        <f t="shared" si="6"/>
        <v>69.51999999999998</v>
      </c>
      <c r="W20" s="68">
        <f t="shared" si="6"/>
        <v>18.809999999999945</v>
      </c>
      <c r="X20" s="52">
        <f t="shared" si="2"/>
        <v>-713.85</v>
      </c>
      <c r="Y20" s="59"/>
    </row>
    <row r="21" spans="1:25" ht="21.75" customHeight="1" thickBot="1">
      <c r="A21" s="76" t="s">
        <v>36</v>
      </c>
      <c r="B21" s="84" t="s">
        <v>21</v>
      </c>
      <c r="C21" s="85">
        <v>1791.3</v>
      </c>
      <c r="D21" s="86">
        <f>SUM(D8-D9)</f>
        <v>-4191.939999999997</v>
      </c>
      <c r="E21" s="87">
        <f>SUM(E8-E9)</f>
        <v>2738.7100000000028</v>
      </c>
      <c r="F21" s="87">
        <f>SUM(F8-F9)</f>
        <v>1290.7800000000007</v>
      </c>
      <c r="G21" s="86">
        <f aca="true" t="shared" si="7" ref="G21:L21">SUM(G8-G9)-G19</f>
        <v>345.72999999999956</v>
      </c>
      <c r="H21" s="87">
        <f t="shared" si="7"/>
        <v>4708.500000000002</v>
      </c>
      <c r="I21" s="78">
        <f t="shared" si="7"/>
        <v>708.1899999999987</v>
      </c>
      <c r="J21" s="78">
        <f t="shared" si="7"/>
        <v>1926.949999999999</v>
      </c>
      <c r="K21" s="78">
        <f t="shared" si="7"/>
        <v>1749.1799999999985</v>
      </c>
      <c r="L21" s="88">
        <f t="shared" si="7"/>
        <v>26.069999999999936</v>
      </c>
      <c r="M21" s="89">
        <f>SUM(M20+L21)</f>
        <v>106.52999999999997</v>
      </c>
      <c r="N21" s="89">
        <f aca="true" t="shared" si="8" ref="N21:W21">SUM(N20+M21)</f>
        <v>218.9000000000001</v>
      </c>
      <c r="O21" s="89">
        <f t="shared" si="8"/>
        <v>-53.86999999999966</v>
      </c>
      <c r="P21" s="89">
        <f t="shared" si="8"/>
        <v>3.8100000000004</v>
      </c>
      <c r="Q21" s="89">
        <f t="shared" si="8"/>
        <v>96.49000000000035</v>
      </c>
      <c r="R21" s="89">
        <f t="shared" si="8"/>
        <v>-171.1899999999997</v>
      </c>
      <c r="S21" s="89">
        <f t="shared" si="8"/>
        <v>-631.4899999999999</v>
      </c>
      <c r="T21" s="89">
        <f t="shared" si="8"/>
        <v>-761.4</v>
      </c>
      <c r="U21" s="89">
        <f t="shared" si="8"/>
        <v>-802.18</v>
      </c>
      <c r="V21" s="89">
        <f t="shared" si="8"/>
        <v>-732.66</v>
      </c>
      <c r="W21" s="89">
        <f t="shared" si="8"/>
        <v>-713.85</v>
      </c>
      <c r="X21" s="87"/>
      <c r="Y21" s="90"/>
    </row>
    <row r="22" spans="1:25" ht="27" customHeight="1" thickBot="1">
      <c r="A22" s="36" t="s">
        <v>37</v>
      </c>
      <c r="B22" s="39" t="s">
        <v>22</v>
      </c>
      <c r="C22" s="39">
        <v>1791.3</v>
      </c>
      <c r="D22" s="19">
        <f>SUM(D8-D9,C22)</f>
        <v>-2400.6399999999967</v>
      </c>
      <c r="E22" s="52">
        <f>SUM(E8-E9,D22)</f>
        <v>338.0700000000061</v>
      </c>
      <c r="F22" s="52">
        <f>SUM(F8-F9,E22)</f>
        <v>1628.8500000000067</v>
      </c>
      <c r="G22" s="19">
        <f aca="true" t="shared" si="9" ref="G22:L22">SUM(G21+F22)</f>
        <v>1974.5800000000063</v>
      </c>
      <c r="H22" s="52">
        <f t="shared" si="9"/>
        <v>6683.080000000008</v>
      </c>
      <c r="I22" s="52">
        <f t="shared" si="9"/>
        <v>7391.270000000007</v>
      </c>
      <c r="J22" s="52">
        <f t="shared" si="9"/>
        <v>9318.220000000005</v>
      </c>
      <c r="K22" s="52">
        <f t="shared" si="9"/>
        <v>11067.400000000003</v>
      </c>
      <c r="L22" s="52">
        <f t="shared" si="9"/>
        <v>11093.470000000003</v>
      </c>
      <c r="M22" s="13">
        <f>SUM(M20+L22)</f>
        <v>11173.930000000004</v>
      </c>
      <c r="N22" s="13">
        <f aca="true" t="shared" si="10" ref="N22:W22">SUM(N20+M22)</f>
        <v>11286.300000000005</v>
      </c>
      <c r="O22" s="13">
        <f t="shared" si="10"/>
        <v>11013.530000000004</v>
      </c>
      <c r="P22" s="13">
        <f t="shared" si="10"/>
        <v>11071.210000000005</v>
      </c>
      <c r="Q22" s="13">
        <f t="shared" si="10"/>
        <v>11163.890000000005</v>
      </c>
      <c r="R22" s="13">
        <f t="shared" si="10"/>
        <v>10896.210000000005</v>
      </c>
      <c r="S22" s="13">
        <f t="shared" si="10"/>
        <v>10435.910000000003</v>
      </c>
      <c r="T22" s="13">
        <f t="shared" si="10"/>
        <v>10306.000000000004</v>
      </c>
      <c r="U22" s="13">
        <f t="shared" si="10"/>
        <v>10265.220000000003</v>
      </c>
      <c r="V22" s="13">
        <f t="shared" si="10"/>
        <v>10334.740000000003</v>
      </c>
      <c r="W22" s="13">
        <f t="shared" si="10"/>
        <v>10353.550000000003</v>
      </c>
      <c r="X22" s="52"/>
      <c r="Y22" s="46"/>
    </row>
    <row r="23" spans="1:25" ht="9.75" customHeight="1" hidden="1" thickBot="1">
      <c r="A23" s="36" t="s">
        <v>37</v>
      </c>
      <c r="B23" s="39" t="s">
        <v>6</v>
      </c>
      <c r="C23" s="40"/>
      <c r="D23" s="40"/>
      <c r="E23" s="61"/>
      <c r="F23" s="61"/>
      <c r="G23" s="61"/>
      <c r="H23" s="61"/>
      <c r="I23" s="61"/>
      <c r="J23" s="61"/>
      <c r="K23" s="61"/>
      <c r="L23" s="14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21"/>
      <c r="X23" s="52"/>
      <c r="Y23" s="47"/>
    </row>
    <row r="24" spans="1:25" ht="15" customHeight="1" hidden="1" thickBot="1">
      <c r="A24" s="36" t="s">
        <v>38</v>
      </c>
      <c r="B24" s="33" t="s">
        <v>23</v>
      </c>
      <c r="C24" s="40"/>
      <c r="D24" s="40"/>
      <c r="E24" s="61"/>
      <c r="F24" s="61"/>
      <c r="G24" s="61"/>
      <c r="H24" s="61"/>
      <c r="I24" s="61"/>
      <c r="J24" s="61"/>
      <c r="K24" s="61"/>
      <c r="L24" s="14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21"/>
      <c r="X24" s="53"/>
      <c r="Y24" s="48"/>
    </row>
    <row r="25" spans="1:25" ht="24" customHeight="1" hidden="1" thickBot="1">
      <c r="A25" s="37" t="s">
        <v>39</v>
      </c>
      <c r="B25" s="34" t="s">
        <v>42</v>
      </c>
      <c r="C25" s="41"/>
      <c r="D25" s="41"/>
      <c r="E25" s="62"/>
      <c r="F25" s="62"/>
      <c r="G25" s="62"/>
      <c r="H25" s="62"/>
      <c r="I25" s="62"/>
      <c r="J25" s="62"/>
      <c r="K25" s="62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>
        <f>SUM(W21-W23)</f>
        <v>-713.85</v>
      </c>
      <c r="X25" s="54"/>
      <c r="Y25" s="49"/>
    </row>
    <row r="26" spans="1:25" ht="24" customHeight="1" hidden="1" thickBot="1">
      <c r="A26" s="37" t="s">
        <v>41</v>
      </c>
      <c r="B26" s="34" t="s">
        <v>24</v>
      </c>
      <c r="C26" s="41"/>
      <c r="D26" s="41"/>
      <c r="E26" s="62"/>
      <c r="F26" s="62"/>
      <c r="G26" s="62"/>
      <c r="H26" s="62"/>
      <c r="I26" s="62"/>
      <c r="J26" s="62"/>
      <c r="K26" s="62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>
        <f>SUM(W22-W23)</f>
        <v>10353.550000000003</v>
      </c>
      <c r="X26" s="54"/>
      <c r="Y26" s="49"/>
    </row>
    <row r="27" spans="3:25" ht="24" customHeight="1" hidden="1"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4"/>
    </row>
    <row r="29" ht="0.75" customHeight="1"/>
    <row r="30" ht="12.75" hidden="1"/>
    <row r="31" ht="12.75" hidden="1"/>
    <row r="32" ht="12.75">
      <c r="B32" t="s">
        <v>59</v>
      </c>
    </row>
    <row r="36" ht="12.75" customHeight="1"/>
    <row r="37" ht="12.75" customHeight="1"/>
  </sheetData>
  <sheetProtection/>
  <mergeCells count="5">
    <mergeCell ref="B4:Y4"/>
    <mergeCell ref="B5:Y5"/>
    <mergeCell ref="B3:Y3"/>
    <mergeCell ref="B1:N1"/>
    <mergeCell ref="B2:W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2020-02-20T12:44:41Z</cp:lastPrinted>
  <dcterms:created xsi:type="dcterms:W3CDTF">2011-06-16T11:06:26Z</dcterms:created>
  <dcterms:modified xsi:type="dcterms:W3CDTF">2020-02-20T12:44:43Z</dcterms:modified>
  <cp:category/>
  <cp:version/>
  <cp:contentType/>
  <cp:contentStatus/>
</cp:coreProperties>
</file>