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<sst xmlns="http://schemas.openxmlformats.org/spreadsheetml/2006/main" count="78" uniqueCount="78">
  <si>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</si>
  <si>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</si>
  <si>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</si>
  <si>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</si>
  <si>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</si>
  <si>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</si>
  <si>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</si>
  <si>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</si>
  <si>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</si>
  <si>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</si>
  <si>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</si>
  <si>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</si>
  <si>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</si>
  <si>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</si>
  <si>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</si>
  <si>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</si>
  <si>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</si>
  <si>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</si>
  <si>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</si>
  <si>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</si>
  <si>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</si>
  <si>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</si>
  <si>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</si>
  <si>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</si>
  <si>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</si>
  <si>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</si>
  <si>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</si>
  <si>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</si>
  <si>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</si>
  <si>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</si>
  <si>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</si>
  <si>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</si>
  <si>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</si>
  <si>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</si>
  <si>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</si>
  <si>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</si>
  <si>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</si>
  <si>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</si>
  <si>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</si>
  <si>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</si>
  <si>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</si>
  <si>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</si>
  <si>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</si>
  <si>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</si>
  <si>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</si>
  <si>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</si>
  <si>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</si>
  <si>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</si>
  <si>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</si>
  <si>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по жилому дому г. Унеча ул. Нахимова  д.4</t>
  </si>
  <si>
    <t>Итого за 2011 г</t>
  </si>
  <si>
    <t>Проверка дымовых каналов</t>
  </si>
  <si>
    <t>11</t>
  </si>
  <si>
    <t>Результат за месяц</t>
  </si>
  <si>
    <t>Итого за 2012 г</t>
  </si>
  <si>
    <t>Благоустройство территории</t>
  </si>
  <si>
    <t>4.12</t>
  </si>
  <si>
    <t>4.13</t>
  </si>
  <si>
    <t>4.14</t>
  </si>
  <si>
    <t>Итого за 2013 г</t>
  </si>
  <si>
    <t>Итого за 2014 г</t>
  </si>
  <si>
    <t>рентабельность 5%</t>
  </si>
  <si>
    <t xml:space="preserve">Материалы 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</si>
  <si>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</si>
  <si>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</si>
  <si>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</si>
  <si>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</si>
  <si>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</si>
  <si>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</si>
  <si>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</si>
  <si>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Итого за 2017 г</t>
  </si>
  <si>
    <t>Начислено  СОИД</t>
  </si>
  <si>
    <t>Электроэнергия СОИД</t>
  </si>
  <si>
    <t>Итого за 2018 г</t>
  </si>
  <si>
    <t>Итого за 2019 г</t>
  </si>
  <si>
    <t>Всего за 2009-2019</t>
  </si>
  <si>
    <t>Дом по ул.Нахимова д.4 вступил в ООО "Наш дом" с октября 2009 года  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</si>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</sst>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6" xfId="0" applyFont="1" applyFill="1" applyBorder="1" applyAlignment="1">
      <alignment/>
    </xf>
    <xf numFmtId="49" fontId="0" fillId="0" borderId="35" xfId="0" applyNumberFormat="1" applyBorder="1" applyAlignment="1">
      <alignment horizontal="center"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0" fontId="26" fillId="0" borderId="37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6" fillId="0" borderId="43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0" fillId="0" borderId="35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9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2" fontId="21" fillId="0" borderId="27" xfId="0" applyNumberFormat="1" applyFont="1" applyBorder="1" applyAlignment="1">
      <alignment/>
    </xf>
    <xf numFmtId="0" fontId="27" fillId="0" borderId="32" xfId="0" applyFont="1" applyBorder="1" applyAlignment="1">
      <alignment/>
    </xf>
    <xf numFmtId="2" fontId="27" fillId="0" borderId="36" xfId="0" applyNumberFormat="1" applyFont="1" applyBorder="1" applyAlignment="1">
      <alignment/>
    </xf>
    <xf numFmtId="2" fontId="27" fillId="0" borderId="41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2" fontId="21" fillId="0" borderId="50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23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36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51" xfId="0" applyFont="1" applyBorder="1" applyAlignment="1">
      <alignment wrapText="1"/>
    </xf>
    <xf numFmtId="0" fontId="28" fillId="0" borderId="52" xfId="0" applyFont="1" applyBorder="1" applyAlignment="1">
      <alignment wrapText="1"/>
    </xf>
    <xf numFmtId="0" fontId="28" fillId="0" borderId="50" xfId="0" applyFont="1" applyBorder="1" applyAlignment="1">
      <alignment wrapText="1"/>
    </xf>
    <xf numFmtId="0" fontId="28" fillId="0" borderId="52" xfId="0" applyFont="1" applyBorder="1" applyAlignment="1">
      <alignment/>
    </xf>
    <xf numFmtId="0" fontId="28" fillId="0" borderId="50" xfId="0" applyFont="1" applyBorder="1" applyAlignment="1">
      <alignment/>
    </xf>
    <xf numFmtId="2" fontId="28" fillId="0" borderId="35" xfId="0" applyNumberFormat="1" applyFont="1" applyBorder="1" applyAlignment="1">
      <alignment/>
    </xf>
    <xf numFmtId="2" fontId="28" fillId="0" borderId="49" xfId="0" applyNumberFormat="1" applyFont="1" applyBorder="1" applyAlignment="1">
      <alignment/>
    </xf>
    <xf numFmtId="2" fontId="28" fillId="0" borderId="53" xfId="0" applyNumberFormat="1" applyFont="1" applyBorder="1" applyAlignment="1">
      <alignment/>
    </xf>
    <xf numFmtId="0" fontId="22" fillId="0" borderId="51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PageLayoutView="0" workbookViewId="0" topLeftCell="A1">
      <selection activeCell="B1" sqref="B1:O1"/>
    </sheetView>
  </sheetViews>
  <sheetFormatPr defaultColWidth="9.00390625" defaultRowHeight="12.75"/>
  <cols>
    <col min="1" max="1" width="3.625" style="26" customWidth="1"/>
    <col min="2" max="2" width="21.375" style="0" customWidth="1"/>
    <col min="3" max="3" width="7.25390625" style="0" hidden="1" customWidth="1"/>
    <col min="4" max="4" width="7.375" style="0" hidden="1" customWidth="1"/>
    <col min="5" max="5" width="7.125" style="0" hidden="1" customWidth="1"/>
    <col min="6" max="6" width="9.625" style="0" hidden="1" customWidth="1"/>
    <col min="7" max="8" width="8.625" style="0" hidden="1" customWidth="1"/>
    <col min="9" max="9" width="9.25390625" style="0" hidden="1" customWidth="1"/>
    <col min="10" max="10" width="9.375" style="0" hidden="1" customWidth="1"/>
    <col min="11" max="11" width="8.25390625" style="0" hidden="1" customWidth="1"/>
    <col min="12" max="12" width="9.375" style="0" hidden="1" customWidth="1"/>
    <col min="13" max="13" width="9.00390625" style="0" customWidth="1"/>
    <col min="14" max="14" width="8.625" style="0" customWidth="1"/>
    <col min="15" max="15" width="7.75390625" style="0" customWidth="1"/>
    <col min="16" max="17" width="8.125" style="0" customWidth="1"/>
    <col min="18" max="18" width="7.75390625" style="0" customWidth="1"/>
    <col min="19" max="19" width="8.125" style="0" customWidth="1"/>
    <col min="20" max="20" width="8.625" style="0" customWidth="1"/>
    <col min="21" max="21" width="8.75390625" style="0" customWidth="1"/>
    <col min="22" max="22" width="8.625" style="0" customWidth="1"/>
    <col min="23" max="23" width="8.25390625" style="0" customWidth="1"/>
    <col min="24" max="24" width="8.875" style="0" customWidth="1"/>
    <col min="25" max="25" width="9.375" style="0" customWidth="1"/>
    <col min="26" max="26" width="10.375" style="0" customWidth="1"/>
  </cols>
  <sheetData>
    <row r="1" spans="2:31" ht="12.75" customHeight="1">
      <c r="B1" s="107" t="s">
        <v>77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107" t="s">
        <v>76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108"/>
      <c r="Y2" s="108"/>
      <c r="Z2" s="4"/>
      <c r="AA2" s="4"/>
      <c r="AB2" s="4"/>
      <c r="AC2" s="4"/>
      <c r="AD2" s="4"/>
      <c r="AE2" s="4"/>
    </row>
    <row r="3" spans="2:31" ht="12.75" customHeight="1">
      <c r="B3" s="106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3"/>
      <c r="AB3" s="3"/>
      <c r="AC3" s="3"/>
      <c r="AD3" s="3"/>
      <c r="AE3" s="3"/>
    </row>
    <row r="4" spans="2:31" ht="15" customHeight="1">
      <c r="B4" s="105" t="s">
        <v>10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"/>
      <c r="AB4" s="2"/>
      <c r="AC4" s="2"/>
      <c r="AD4" s="2"/>
      <c r="AE4" s="2"/>
    </row>
    <row r="5" spans="2:31" ht="16.5" customHeight="1" thickBot="1">
      <c r="B5" s="105" t="s">
        <v>49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2"/>
      <c r="AB5" s="2"/>
      <c r="AC5" s="2"/>
      <c r="AD5" s="2"/>
      <c r="AE5" s="2"/>
    </row>
    <row r="6" spans="2:31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30" customHeight="1" thickBot="1">
      <c r="A7" s="35" t="s">
        <v>27</v>
      </c>
      <c r="B7" s="27" t="s">
        <v>7</v>
      </c>
      <c r="C7" s="38" t="s">
        <v>45</v>
      </c>
      <c r="D7" s="42" t="s">
        <v>46</v>
      </c>
      <c r="E7" s="57" t="s">
        <v>50</v>
      </c>
      <c r="F7" s="57" t="s">
        <v>54</v>
      </c>
      <c r="G7" s="57" t="s">
        <v>59</v>
      </c>
      <c r="H7" s="57" t="s">
        <v>60</v>
      </c>
      <c r="I7" s="57" t="s">
        <v>63</v>
      </c>
      <c r="J7" s="57" t="s">
        <v>69</v>
      </c>
      <c r="K7" s="57" t="s">
        <v>70</v>
      </c>
      <c r="L7" s="57" t="s">
        <v>73</v>
      </c>
      <c r="M7" s="6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20</v>
      </c>
      <c r="W7" s="5" t="s">
        <v>22</v>
      </c>
      <c r="X7" s="15" t="s">
        <v>21</v>
      </c>
      <c r="Y7" s="57" t="s">
        <v>74</v>
      </c>
      <c r="Z7" s="52" t="s">
        <v>75</v>
      </c>
      <c r="AA7" s="1"/>
      <c r="AB7" s="1"/>
      <c r="AC7" s="1"/>
      <c r="AD7" s="1"/>
      <c r="AE7" s="1"/>
    </row>
    <row r="8" spans="1:26" ht="13.5" thickBot="1">
      <c r="A8" s="36" t="s">
        <v>28</v>
      </c>
      <c r="B8" s="28" t="s">
        <v>1</v>
      </c>
      <c r="C8" s="66">
        <v>12229.56</v>
      </c>
      <c r="D8" s="67">
        <v>49030.48</v>
      </c>
      <c r="E8" s="68">
        <v>48940.32</v>
      </c>
      <c r="F8" s="67">
        <v>48949.52</v>
      </c>
      <c r="G8" s="67">
        <v>48962.4</v>
      </c>
      <c r="H8" s="81">
        <v>49158.36</v>
      </c>
      <c r="I8" s="67">
        <v>49762.8</v>
      </c>
      <c r="J8" s="67">
        <v>49812.48</v>
      </c>
      <c r="K8" s="67">
        <v>49812.48</v>
      </c>
      <c r="L8" s="67">
        <v>49812.48</v>
      </c>
      <c r="M8" s="7">
        <v>3880.32</v>
      </c>
      <c r="N8" s="7">
        <v>3880.32</v>
      </c>
      <c r="O8" s="7">
        <v>3880.32</v>
      </c>
      <c r="P8" s="7">
        <v>4097.9</v>
      </c>
      <c r="Q8" s="7">
        <v>4097.9</v>
      </c>
      <c r="R8" s="7">
        <v>4097.9</v>
      </c>
      <c r="S8" s="7">
        <v>4097.9</v>
      </c>
      <c r="T8" s="7">
        <v>4097.9</v>
      </c>
      <c r="U8" s="7">
        <v>4097.9</v>
      </c>
      <c r="V8" s="7">
        <v>4097.9</v>
      </c>
      <c r="W8" s="7">
        <v>4097.9</v>
      </c>
      <c r="X8" s="7">
        <v>4097.9</v>
      </c>
      <c r="Y8" s="58">
        <f>SUM(M8:X8)</f>
        <v>48522.06000000001</v>
      </c>
      <c r="Z8" s="83">
        <f>SUM(C8:X8)</f>
        <v>504992.9400000002</v>
      </c>
    </row>
    <row r="9" spans="1:26" ht="13.5" thickBot="1">
      <c r="A9" s="36"/>
      <c r="B9" s="28" t="s">
        <v>71</v>
      </c>
      <c r="C9" s="66"/>
      <c r="D9" s="81"/>
      <c r="E9" s="68"/>
      <c r="F9" s="81"/>
      <c r="G9" s="81"/>
      <c r="H9" s="81"/>
      <c r="I9" s="81"/>
      <c r="J9" s="81"/>
      <c r="K9" s="81">
        <v>4737.79</v>
      </c>
      <c r="L9" s="81">
        <v>2987.95</v>
      </c>
      <c r="M9" s="7">
        <f>47.2+28.46</f>
        <v>75.66</v>
      </c>
      <c r="N9" s="7">
        <f>48.76+28.46</f>
        <v>77.22</v>
      </c>
      <c r="O9" s="7">
        <f>47.99+28.46</f>
        <v>76.45</v>
      </c>
      <c r="P9" s="7">
        <f>44.65+26.48</f>
        <v>71.13</v>
      </c>
      <c r="Q9" s="7">
        <f>47.99+28.46</f>
        <v>76.45</v>
      </c>
      <c r="R9" s="7">
        <f>47.99+28.46</f>
        <v>76.45</v>
      </c>
      <c r="S9" s="8">
        <f aca="true" t="shared" si="0" ref="S9:X9">48.35+28.94</f>
        <v>77.29</v>
      </c>
      <c r="T9" s="8">
        <f t="shared" si="0"/>
        <v>77.29</v>
      </c>
      <c r="U9" s="8">
        <f t="shared" si="0"/>
        <v>77.29</v>
      </c>
      <c r="V9" s="8">
        <f t="shared" si="0"/>
        <v>77.29</v>
      </c>
      <c r="W9" s="8">
        <f t="shared" si="0"/>
        <v>77.29</v>
      </c>
      <c r="X9" s="8">
        <f t="shared" si="0"/>
        <v>77.29</v>
      </c>
      <c r="Y9" s="58">
        <f>SUM(M9:X9)</f>
        <v>917.0999999999998</v>
      </c>
      <c r="Z9" s="83">
        <f>SUM(C9:X9)</f>
        <v>8642.840000000004</v>
      </c>
    </row>
    <row r="10" spans="1:26" s="95" customFormat="1" ht="13.5" thickBot="1">
      <c r="A10" s="89" t="s">
        <v>29</v>
      </c>
      <c r="B10" s="90" t="s">
        <v>2</v>
      </c>
      <c r="C10" s="91">
        <f aca="true" t="shared" si="1" ref="C10:M10">SUM(C11:C23)</f>
        <v>7665.5</v>
      </c>
      <c r="D10" s="92">
        <f t="shared" si="1"/>
        <v>37750.87</v>
      </c>
      <c r="E10" s="91">
        <f t="shared" si="1"/>
        <v>40840.07</v>
      </c>
      <c r="F10" s="92">
        <f t="shared" si="1"/>
        <v>35948.770000000004</v>
      </c>
      <c r="G10" s="92">
        <f t="shared" si="1"/>
        <v>39698.75</v>
      </c>
      <c r="H10" s="92">
        <f>SUM(H11:H23)</f>
        <v>49703.979999999996</v>
      </c>
      <c r="I10" s="92">
        <f>SUM(I11:I23)</f>
        <v>54221.75</v>
      </c>
      <c r="J10" s="92">
        <f>SUM(J11:J23)</f>
        <v>46010.38999999999</v>
      </c>
      <c r="K10" s="92">
        <f>SUM(K11:K23)</f>
        <v>49773.92999999999</v>
      </c>
      <c r="L10" s="92">
        <f t="shared" si="1"/>
        <v>54382.39000000001</v>
      </c>
      <c r="M10" s="93">
        <f t="shared" si="1"/>
        <v>3288.1299999999997</v>
      </c>
      <c r="N10" s="93">
        <f aca="true" t="shared" si="2" ref="N10:X10">SUM(N11:N23)</f>
        <v>6879.35</v>
      </c>
      <c r="O10" s="93">
        <f t="shared" si="2"/>
        <v>3043.84</v>
      </c>
      <c r="P10" s="93">
        <f t="shared" si="2"/>
        <v>3769.86</v>
      </c>
      <c r="Q10" s="93">
        <f t="shared" si="2"/>
        <v>3321.38</v>
      </c>
      <c r="R10" s="93">
        <f t="shared" si="2"/>
        <v>3338.75</v>
      </c>
      <c r="S10" s="93">
        <f t="shared" si="2"/>
        <v>3593.53</v>
      </c>
      <c r="T10" s="93">
        <f t="shared" si="2"/>
        <v>3940.91</v>
      </c>
      <c r="U10" s="93">
        <f t="shared" si="2"/>
        <v>3454.04</v>
      </c>
      <c r="V10" s="93">
        <f t="shared" si="2"/>
        <v>3699.51</v>
      </c>
      <c r="W10" s="93">
        <f t="shared" si="2"/>
        <v>3422.62</v>
      </c>
      <c r="X10" s="91">
        <f t="shared" si="2"/>
        <v>3496.62</v>
      </c>
      <c r="Y10" s="92">
        <f>SUM(M10:X10)</f>
        <v>45248.54000000001</v>
      </c>
      <c r="Z10" s="94">
        <f>SUM(C10:X10)</f>
        <v>461244.94</v>
      </c>
    </row>
    <row r="11" spans="1:26" ht="13.5" thickBot="1">
      <c r="A11" s="36" t="s">
        <v>30</v>
      </c>
      <c r="B11" s="30" t="s">
        <v>4</v>
      </c>
      <c r="C11" s="46">
        <v>2307.75</v>
      </c>
      <c r="D11" s="47">
        <v>9743.31</v>
      </c>
      <c r="E11" s="69">
        <v>4394.54</v>
      </c>
      <c r="F11" s="47">
        <v>2343.57</v>
      </c>
      <c r="G11" s="47">
        <v>2832.18</v>
      </c>
      <c r="H11" s="47">
        <v>7180.65</v>
      </c>
      <c r="I11" s="47">
        <v>6793.52</v>
      </c>
      <c r="J11" s="47">
        <v>8186.29</v>
      </c>
      <c r="K11" s="47">
        <v>8993.82</v>
      </c>
      <c r="L11" s="47">
        <v>9569.9</v>
      </c>
      <c r="M11" s="7"/>
      <c r="N11" s="8"/>
      <c r="O11" s="8"/>
      <c r="P11" s="8">
        <v>17.38</v>
      </c>
      <c r="Q11" s="8">
        <v>13.28</v>
      </c>
      <c r="R11" s="8">
        <v>5.49</v>
      </c>
      <c r="S11" s="8">
        <v>14.48</v>
      </c>
      <c r="T11" s="8">
        <v>10.7</v>
      </c>
      <c r="U11" s="8">
        <v>2.68</v>
      </c>
      <c r="V11" s="8">
        <v>9.58</v>
      </c>
      <c r="W11" s="8">
        <v>7.98</v>
      </c>
      <c r="X11" s="16">
        <v>5.4</v>
      </c>
      <c r="Y11" s="60">
        <f aca="true" t="shared" si="3" ref="Y11:Y25">SUM(M11:X11)</f>
        <v>86.97000000000001</v>
      </c>
      <c r="Z11" s="84">
        <f aca="true" t="shared" si="4" ref="Z11:Z23">SUM(C11:X11)</f>
        <v>62432.50000000001</v>
      </c>
    </row>
    <row r="12" spans="1:26" ht="14.25" customHeight="1" thickBot="1">
      <c r="A12" s="36" t="s">
        <v>31</v>
      </c>
      <c r="B12" s="31" t="s">
        <v>64</v>
      </c>
      <c r="C12" s="48">
        <v>4438.3</v>
      </c>
      <c r="D12" s="49">
        <v>12144.67</v>
      </c>
      <c r="E12" s="70">
        <v>4462.56</v>
      </c>
      <c r="F12" s="49">
        <v>1356.99</v>
      </c>
      <c r="G12" s="49">
        <v>5221.68</v>
      </c>
      <c r="H12" s="49">
        <v>306.28</v>
      </c>
      <c r="I12" s="49">
        <v>1267.63</v>
      </c>
      <c r="J12" s="49">
        <v>2722.53</v>
      </c>
      <c r="K12" s="49">
        <v>2000</v>
      </c>
      <c r="L12" s="49">
        <v>0</v>
      </c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7"/>
      <c r="Y12" s="60">
        <f t="shared" si="3"/>
        <v>0</v>
      </c>
      <c r="Z12" s="84">
        <f t="shared" si="4"/>
        <v>33920.64</v>
      </c>
    </row>
    <row r="13" spans="1:26" ht="15.75" customHeight="1" thickBot="1">
      <c r="A13" s="36" t="s">
        <v>32</v>
      </c>
      <c r="B13" s="29" t="s">
        <v>5</v>
      </c>
      <c r="C13" s="48">
        <v>0</v>
      </c>
      <c r="D13" s="49">
        <v>0</v>
      </c>
      <c r="E13" s="70">
        <v>2558.48</v>
      </c>
      <c r="F13" s="49">
        <v>0</v>
      </c>
      <c r="G13" s="49">
        <v>0</v>
      </c>
      <c r="H13" s="49"/>
      <c r="I13" s="49">
        <v>4239.7</v>
      </c>
      <c r="J13" s="49">
        <v>0</v>
      </c>
      <c r="K13" s="49">
        <v>0</v>
      </c>
      <c r="L13" s="49">
        <v>5517.59</v>
      </c>
      <c r="M13" s="9"/>
      <c r="N13" s="10">
        <v>3746.9</v>
      </c>
      <c r="O13" s="10"/>
      <c r="P13" s="10"/>
      <c r="Q13" s="10"/>
      <c r="R13" s="10"/>
      <c r="S13" s="10"/>
      <c r="T13" s="10"/>
      <c r="U13" s="10"/>
      <c r="V13" s="10"/>
      <c r="W13" s="10"/>
      <c r="X13" s="17"/>
      <c r="Y13" s="60">
        <f t="shared" si="3"/>
        <v>3746.9</v>
      </c>
      <c r="Z13" s="84">
        <f t="shared" si="4"/>
        <v>16062.67</v>
      </c>
    </row>
    <row r="14" spans="1:26" ht="22.5" customHeight="1" thickBot="1">
      <c r="A14" s="36" t="s">
        <v>33</v>
      </c>
      <c r="B14" s="29" t="s">
        <v>51</v>
      </c>
      <c r="C14" s="48">
        <v>0</v>
      </c>
      <c r="D14" s="49">
        <v>0</v>
      </c>
      <c r="E14" s="70">
        <v>555.46</v>
      </c>
      <c r="F14" s="49">
        <v>0</v>
      </c>
      <c r="G14" s="49">
        <v>0</v>
      </c>
      <c r="H14" s="49"/>
      <c r="I14" s="49">
        <v>0</v>
      </c>
      <c r="J14" s="49">
        <v>500</v>
      </c>
      <c r="K14" s="49">
        <v>0</v>
      </c>
      <c r="L14" s="49">
        <v>0</v>
      </c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7"/>
      <c r="Y14" s="60">
        <f t="shared" si="3"/>
        <v>0</v>
      </c>
      <c r="Z14" s="84">
        <f t="shared" si="4"/>
        <v>1055.46</v>
      </c>
    </row>
    <row r="15" spans="1:26" ht="15.75" customHeight="1" thickBot="1">
      <c r="A15" s="36" t="s">
        <v>34</v>
      </c>
      <c r="B15" s="31" t="s">
        <v>62</v>
      </c>
      <c r="C15" s="48">
        <v>0</v>
      </c>
      <c r="D15" s="49">
        <v>288.84</v>
      </c>
      <c r="E15" s="70">
        <v>614.34</v>
      </c>
      <c r="F15" s="49">
        <v>1085.12</v>
      </c>
      <c r="G15" s="49">
        <v>0</v>
      </c>
      <c r="H15" s="49">
        <v>10518.14</v>
      </c>
      <c r="I15" s="49">
        <v>3914.37</v>
      </c>
      <c r="J15" s="49">
        <v>900.26</v>
      </c>
      <c r="K15" s="49">
        <v>523</v>
      </c>
      <c r="L15" s="49">
        <v>950.72</v>
      </c>
      <c r="M15" s="9"/>
      <c r="N15" s="10"/>
      <c r="O15" s="10"/>
      <c r="P15" s="10">
        <v>300</v>
      </c>
      <c r="Q15" s="10"/>
      <c r="R15" s="10"/>
      <c r="S15" s="10">
        <v>200</v>
      </c>
      <c r="T15" s="10">
        <f>332.2+385</f>
        <v>717.2</v>
      </c>
      <c r="U15" s="10">
        <v>250</v>
      </c>
      <c r="V15" s="10"/>
      <c r="W15" s="10">
        <v>60</v>
      </c>
      <c r="X15" s="17"/>
      <c r="Y15" s="60">
        <f t="shared" si="3"/>
        <v>1527.2</v>
      </c>
      <c r="Z15" s="84">
        <f t="shared" si="4"/>
        <v>20321.989999999998</v>
      </c>
    </row>
    <row r="16" spans="1:26" ht="22.5" customHeight="1" thickBot="1">
      <c r="A16" s="36" t="s">
        <v>35</v>
      </c>
      <c r="B16" s="31" t="s">
        <v>55</v>
      </c>
      <c r="C16" s="48">
        <v>0</v>
      </c>
      <c r="D16" s="49">
        <v>0</v>
      </c>
      <c r="E16" s="70">
        <v>0</v>
      </c>
      <c r="F16" s="49">
        <v>256</v>
      </c>
      <c r="G16" s="49">
        <v>0</v>
      </c>
      <c r="H16" s="49">
        <v>655.73</v>
      </c>
      <c r="I16" s="49">
        <v>0</v>
      </c>
      <c r="J16" s="49">
        <v>51</v>
      </c>
      <c r="K16" s="49">
        <v>302.6</v>
      </c>
      <c r="L16" s="49">
        <v>92</v>
      </c>
      <c r="M16" s="9">
        <v>29.34</v>
      </c>
      <c r="N16" s="10">
        <v>14</v>
      </c>
      <c r="O16" s="10"/>
      <c r="P16" s="10"/>
      <c r="Q16" s="10"/>
      <c r="R16" s="10"/>
      <c r="S16" s="10"/>
      <c r="T16" s="10"/>
      <c r="U16" s="10"/>
      <c r="V16" s="10"/>
      <c r="W16" s="10"/>
      <c r="X16" s="17"/>
      <c r="Y16" s="60">
        <f t="shared" si="3"/>
        <v>43.34</v>
      </c>
      <c r="Z16" s="84">
        <f t="shared" si="4"/>
        <v>1400.6699999999998</v>
      </c>
    </row>
    <row r="17" spans="1:26" ht="14.25" customHeight="1" thickBot="1">
      <c r="A17" s="36" t="s">
        <v>36</v>
      </c>
      <c r="B17" s="31" t="s">
        <v>72</v>
      </c>
      <c r="C17" s="48">
        <v>300.49</v>
      </c>
      <c r="D17" s="49">
        <v>1174.16</v>
      </c>
      <c r="E17" s="70">
        <v>1276.92</v>
      </c>
      <c r="F17" s="49">
        <v>868.09</v>
      </c>
      <c r="G17" s="49">
        <v>0</v>
      </c>
      <c r="H17" s="49"/>
      <c r="I17" s="49">
        <v>0</v>
      </c>
      <c r="J17" s="49">
        <v>0</v>
      </c>
      <c r="K17" s="49">
        <v>4107.4</v>
      </c>
      <c r="L17" s="49">
        <v>2088.85</v>
      </c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7"/>
      <c r="Y17" s="60">
        <f t="shared" si="3"/>
        <v>0</v>
      </c>
      <c r="Z17" s="84">
        <f t="shared" si="4"/>
        <v>9815.91</v>
      </c>
    </row>
    <row r="18" spans="1:26" ht="15.75" customHeight="1" thickBot="1">
      <c r="A18" s="36" t="s">
        <v>37</v>
      </c>
      <c r="B18" s="31" t="s">
        <v>6</v>
      </c>
      <c r="C18" s="48">
        <v>57.79</v>
      </c>
      <c r="D18" s="49">
        <v>651.72</v>
      </c>
      <c r="E18" s="70">
        <v>349.01</v>
      </c>
      <c r="F18" s="49">
        <v>245.94</v>
      </c>
      <c r="G18" s="49">
        <v>218.59</v>
      </c>
      <c r="H18" s="49"/>
      <c r="I18" s="49">
        <v>0</v>
      </c>
      <c r="J18" s="49">
        <v>0</v>
      </c>
      <c r="K18" s="49">
        <v>0</v>
      </c>
      <c r="L18" s="49">
        <v>0</v>
      </c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7"/>
      <c r="Y18" s="60">
        <f t="shared" si="3"/>
        <v>0</v>
      </c>
      <c r="Z18" s="84">
        <f t="shared" si="4"/>
        <v>1523.05</v>
      </c>
    </row>
    <row r="19" spans="1:26" ht="36" customHeight="1" thickBot="1">
      <c r="A19" s="36" t="s">
        <v>38</v>
      </c>
      <c r="B19" s="31" t="s">
        <v>65</v>
      </c>
      <c r="C19" s="48">
        <v>0</v>
      </c>
      <c r="D19" s="49">
        <v>603.51</v>
      </c>
      <c r="E19" s="70">
        <v>2152.49</v>
      </c>
      <c r="F19" s="49">
        <v>2713.46</v>
      </c>
      <c r="G19" s="49">
        <v>2667.16</v>
      </c>
      <c r="H19" s="49">
        <v>1844.78</v>
      </c>
      <c r="I19" s="49">
        <v>2166.24</v>
      </c>
      <c r="J19" s="49">
        <v>2293.08</v>
      </c>
      <c r="K19" s="49">
        <v>2329.69</v>
      </c>
      <c r="L19" s="49">
        <v>2448.18</v>
      </c>
      <c r="M19" s="9">
        <v>197.2</v>
      </c>
      <c r="N19" s="10">
        <v>206.71</v>
      </c>
      <c r="O19" s="10">
        <v>164.13</v>
      </c>
      <c r="P19" s="10">
        <v>207.59</v>
      </c>
      <c r="Q19" s="10">
        <v>172.7</v>
      </c>
      <c r="R19" s="10">
        <v>132.41</v>
      </c>
      <c r="S19" s="10">
        <v>138.4</v>
      </c>
      <c r="T19" s="10">
        <v>117.3</v>
      </c>
      <c r="U19" s="10">
        <v>131.89</v>
      </c>
      <c r="V19" s="10">
        <v>273.13</v>
      </c>
      <c r="W19" s="10">
        <v>172.71</v>
      </c>
      <c r="X19" s="17">
        <v>146.94</v>
      </c>
      <c r="Y19" s="60">
        <f t="shared" si="3"/>
        <v>2061.11</v>
      </c>
      <c r="Z19" s="84">
        <f t="shared" si="4"/>
        <v>21279.7</v>
      </c>
    </row>
    <row r="20" spans="1:26" ht="24.75" customHeight="1" thickBot="1">
      <c r="A20" s="36" t="s">
        <v>39</v>
      </c>
      <c r="B20" s="31" t="s">
        <v>66</v>
      </c>
      <c r="C20" s="48">
        <v>228.68</v>
      </c>
      <c r="D20" s="49">
        <v>1050.66</v>
      </c>
      <c r="E20" s="70">
        <v>1446.77</v>
      </c>
      <c r="F20" s="49">
        <v>351.51</v>
      </c>
      <c r="G20" s="49">
        <v>249.96</v>
      </c>
      <c r="H20" s="49">
        <v>550.93</v>
      </c>
      <c r="I20" s="49">
        <v>373.37</v>
      </c>
      <c r="J20" s="49">
        <v>325.76</v>
      </c>
      <c r="K20" s="49">
        <v>254.83</v>
      </c>
      <c r="L20" s="49">
        <v>246.95</v>
      </c>
      <c r="M20" s="9">
        <v>15.6</v>
      </c>
      <c r="N20" s="10">
        <v>13.45</v>
      </c>
      <c r="O20" s="10">
        <v>11.72</v>
      </c>
      <c r="P20" s="10">
        <v>14.4</v>
      </c>
      <c r="Q20" s="10">
        <v>1.52</v>
      </c>
      <c r="R20" s="10">
        <v>21.59</v>
      </c>
      <c r="S20" s="10">
        <v>24.21</v>
      </c>
      <c r="T20" s="10">
        <v>28.2</v>
      </c>
      <c r="U20" s="10">
        <v>41.92</v>
      </c>
      <c r="V20" s="10">
        <v>10.37</v>
      </c>
      <c r="W20" s="10">
        <v>38.26</v>
      </c>
      <c r="X20" s="17">
        <v>13.46</v>
      </c>
      <c r="Y20" s="60">
        <f t="shared" si="3"/>
        <v>234.70000000000002</v>
      </c>
      <c r="Z20" s="84">
        <f t="shared" si="4"/>
        <v>5314.120000000001</v>
      </c>
    </row>
    <row r="21" spans="1:26" ht="33.75" customHeight="1" thickBot="1">
      <c r="A21" s="36" t="s">
        <v>56</v>
      </c>
      <c r="B21" s="31" t="s">
        <v>67</v>
      </c>
      <c r="C21" s="48">
        <v>0</v>
      </c>
      <c r="D21" s="49">
        <v>611.98</v>
      </c>
      <c r="E21" s="70">
        <v>1903.41</v>
      </c>
      <c r="F21" s="49">
        <v>1827.36</v>
      </c>
      <c r="G21" s="49">
        <v>2452.06</v>
      </c>
      <c r="H21" s="49">
        <v>2173.23</v>
      </c>
      <c r="I21" s="49">
        <v>2731.15</v>
      </c>
      <c r="J21" s="49">
        <v>2386.15</v>
      </c>
      <c r="K21" s="49">
        <v>2513.37</v>
      </c>
      <c r="L21" s="49">
        <v>2753.17</v>
      </c>
      <c r="M21" s="9">
        <f>9.74+94.36+116.23</f>
        <v>220.32999999999998</v>
      </c>
      <c r="N21" s="10">
        <f>9.18+131.47+112.67</f>
        <v>253.32</v>
      </c>
      <c r="O21" s="10">
        <f>117.51+7.98+87.66</f>
        <v>213.15</v>
      </c>
      <c r="P21" s="10">
        <f>9.02+102.35+328.85</f>
        <v>440.22</v>
      </c>
      <c r="Q21" s="10">
        <f>8.8+113.01+89.13</f>
        <v>210.94</v>
      </c>
      <c r="R21" s="10">
        <f>10.23+78.65+157.81</f>
        <v>246.69</v>
      </c>
      <c r="S21" s="10">
        <f>9.83+133.22+71.87</f>
        <v>214.92000000000002</v>
      </c>
      <c r="T21" s="10">
        <f>9.01+81.89+114.57</f>
        <v>205.47</v>
      </c>
      <c r="U21" s="10">
        <f>6.56+72.83+104.33</f>
        <v>183.72</v>
      </c>
      <c r="V21" s="10">
        <f>6.65+116.67+296.44</f>
        <v>419.76</v>
      </c>
      <c r="W21" s="10">
        <f>7.35+73.36+76.35</f>
        <v>157.06</v>
      </c>
      <c r="X21" s="17">
        <f>7.33+221.86+128.15</f>
        <v>357.34000000000003</v>
      </c>
      <c r="Y21" s="60">
        <f t="shared" si="3"/>
        <v>3122.9200000000005</v>
      </c>
      <c r="Z21" s="84">
        <f t="shared" si="4"/>
        <v>22474.8</v>
      </c>
    </row>
    <row r="22" spans="1:26" ht="15.75" customHeight="1" thickBot="1">
      <c r="A22" s="36" t="s">
        <v>57</v>
      </c>
      <c r="B22" s="31" t="s">
        <v>9</v>
      </c>
      <c r="C22" s="48">
        <v>219.25</v>
      </c>
      <c r="D22" s="49">
        <v>9767.94</v>
      </c>
      <c r="E22" s="70">
        <v>18198.27</v>
      </c>
      <c r="F22" s="49">
        <v>22852.97</v>
      </c>
      <c r="G22" s="49">
        <v>24226.32</v>
      </c>
      <c r="H22" s="49">
        <v>24621.61</v>
      </c>
      <c r="I22" s="49">
        <v>30837.83</v>
      </c>
      <c r="J22" s="49">
        <v>26764.44</v>
      </c>
      <c r="K22" s="49">
        <v>26729.63</v>
      </c>
      <c r="L22" s="49">
        <v>28683.91</v>
      </c>
      <c r="M22" s="9">
        <f>3288.13-622.07</f>
        <v>2666.06</v>
      </c>
      <c r="N22" s="10">
        <f>6879.35-4384.6</f>
        <v>2494.75</v>
      </c>
      <c r="O22" s="10">
        <f>3043.84-533.6</f>
        <v>2510.2400000000002</v>
      </c>
      <c r="P22" s="10">
        <f>3769.86-1106.53</f>
        <v>2663.33</v>
      </c>
      <c r="Q22" s="10">
        <f>3321.38-526.69</f>
        <v>2794.69</v>
      </c>
      <c r="R22" s="10">
        <f>3338.75-605.45</f>
        <v>2733.3</v>
      </c>
      <c r="S22" s="10">
        <f>3593.53-751.15</f>
        <v>2842.38</v>
      </c>
      <c r="T22" s="10">
        <f>3940.91-1207.37</f>
        <v>2733.54</v>
      </c>
      <c r="U22" s="10">
        <f>3454.04-800.39</f>
        <v>2653.65</v>
      </c>
      <c r="V22" s="10">
        <f>3699.51-873.97</f>
        <v>2825.54</v>
      </c>
      <c r="W22" s="10">
        <f>3422.62-588.05</f>
        <v>2834.5699999999997</v>
      </c>
      <c r="X22" s="17">
        <f>3496.62-687.13</f>
        <v>2809.49</v>
      </c>
      <c r="Y22" s="60">
        <f t="shared" si="3"/>
        <v>32561.54</v>
      </c>
      <c r="Z22" s="84">
        <f t="shared" si="4"/>
        <v>245463.71</v>
      </c>
    </row>
    <row r="23" spans="1:26" ht="13.5" customHeight="1" thickBot="1">
      <c r="A23" s="36" t="s">
        <v>58</v>
      </c>
      <c r="B23" s="32" t="s">
        <v>3</v>
      </c>
      <c r="C23" s="50">
        <v>113.24</v>
      </c>
      <c r="D23" s="51">
        <v>1714.08</v>
      </c>
      <c r="E23" s="71">
        <v>2927.82</v>
      </c>
      <c r="F23" s="51">
        <v>2047.76</v>
      </c>
      <c r="G23" s="51">
        <v>1830.8</v>
      </c>
      <c r="H23" s="51">
        <v>1852.63</v>
      </c>
      <c r="I23" s="51">
        <v>1897.94</v>
      </c>
      <c r="J23" s="51">
        <v>1880.88</v>
      </c>
      <c r="K23" s="51">
        <v>2019.59</v>
      </c>
      <c r="L23" s="51">
        <v>2031.12</v>
      </c>
      <c r="M23" s="11">
        <f>2.86+156.74</f>
        <v>159.60000000000002</v>
      </c>
      <c r="N23" s="12">
        <f>2.87+147.35</f>
        <v>150.22</v>
      </c>
      <c r="O23" s="12">
        <f>2.82+141.78</f>
        <v>144.6</v>
      </c>
      <c r="P23" s="12">
        <f>2.32+124.62</f>
        <v>126.94</v>
      </c>
      <c r="Q23" s="12">
        <f>2.12+126.13</f>
        <v>128.25</v>
      </c>
      <c r="R23" s="12">
        <f>3.82+195.45</f>
        <v>199.26999999999998</v>
      </c>
      <c r="S23" s="12">
        <f>2.92+156.22</f>
        <v>159.14</v>
      </c>
      <c r="T23" s="12">
        <f>2.38+126.12</f>
        <v>128.5</v>
      </c>
      <c r="U23" s="12">
        <f>3.52+186.66</f>
        <v>190.18</v>
      </c>
      <c r="V23" s="12">
        <f>2.98+158.15</f>
        <v>161.13</v>
      </c>
      <c r="W23" s="12">
        <f>2.81+149.23</f>
        <v>152.04</v>
      </c>
      <c r="X23" s="19">
        <f>3.04+160.95</f>
        <v>163.98999999999998</v>
      </c>
      <c r="Y23" s="60">
        <f t="shared" si="3"/>
        <v>1863.86</v>
      </c>
      <c r="Z23" s="84">
        <f t="shared" si="4"/>
        <v>20179.72</v>
      </c>
    </row>
    <row r="24" spans="1:26" ht="13.5" customHeight="1" thickBot="1">
      <c r="A24" s="36"/>
      <c r="B24" s="43" t="s">
        <v>61</v>
      </c>
      <c r="C24" s="73"/>
      <c r="D24" s="74"/>
      <c r="E24" s="75"/>
      <c r="F24" s="74"/>
      <c r="G24" s="74"/>
      <c r="H24" s="78">
        <f>H8*5%</f>
        <v>2457.918</v>
      </c>
      <c r="I24" s="78">
        <f>I8*5%</f>
        <v>2488.1400000000003</v>
      </c>
      <c r="J24" s="86">
        <f>J8*5%</f>
        <v>2490.6240000000003</v>
      </c>
      <c r="K24" s="87">
        <f>K8*5%</f>
        <v>2490.6240000000003</v>
      </c>
      <c r="L24" s="87">
        <f>L8*5%</f>
        <v>2490.6240000000003</v>
      </c>
      <c r="M24" s="77">
        <f>(M8+M9)*5%</f>
        <v>197.799</v>
      </c>
      <c r="N24" s="77">
        <f>(N8+N9)*5%</f>
        <v>197.877</v>
      </c>
      <c r="O24" s="77">
        <f aca="true" t="shared" si="5" ref="O24:X24">(O8+O9)*5%</f>
        <v>197.8385</v>
      </c>
      <c r="P24" s="77">
        <f t="shared" si="5"/>
        <v>208.4515</v>
      </c>
      <c r="Q24" s="77">
        <f t="shared" si="5"/>
        <v>208.71749999999997</v>
      </c>
      <c r="R24" s="77">
        <f t="shared" si="5"/>
        <v>208.71749999999997</v>
      </c>
      <c r="S24" s="77">
        <f t="shared" si="5"/>
        <v>208.7595</v>
      </c>
      <c r="T24" s="77">
        <f t="shared" si="5"/>
        <v>208.7595</v>
      </c>
      <c r="U24" s="77">
        <f t="shared" si="5"/>
        <v>208.7595</v>
      </c>
      <c r="V24" s="77">
        <f t="shared" si="5"/>
        <v>208.7595</v>
      </c>
      <c r="W24" s="77">
        <f t="shared" si="5"/>
        <v>208.7595</v>
      </c>
      <c r="X24" s="77">
        <f t="shared" si="5"/>
        <v>208.7595</v>
      </c>
      <c r="Y24" s="78">
        <f t="shared" si="3"/>
        <v>2471.9580000000005</v>
      </c>
      <c r="Z24" s="85"/>
    </row>
    <row r="25" spans="1:26" ht="13.5" customHeight="1" thickBot="1">
      <c r="A25" s="36" t="s">
        <v>40</v>
      </c>
      <c r="B25" s="63" t="s">
        <v>53</v>
      </c>
      <c r="C25" s="64"/>
      <c r="D25" s="65"/>
      <c r="E25" s="72"/>
      <c r="F25" s="65"/>
      <c r="G25" s="65"/>
      <c r="H25" s="65"/>
      <c r="I25" s="65"/>
      <c r="J25" s="65"/>
      <c r="K25" s="88">
        <f aca="true" t="shared" si="6" ref="K25:X25">SUM(K8+K9-K10)-K24</f>
        <v>2285.716000000011</v>
      </c>
      <c r="L25" s="88">
        <f>SUM(L8+L9-L10)-L24</f>
        <v>-4072.5840000000067</v>
      </c>
      <c r="M25" s="79">
        <f t="shared" si="6"/>
        <v>470.0510000000004</v>
      </c>
      <c r="N25" s="79">
        <f t="shared" si="6"/>
        <v>-3119.6870000000004</v>
      </c>
      <c r="O25" s="79">
        <f t="shared" si="6"/>
        <v>715.0914999999998</v>
      </c>
      <c r="P25" s="79">
        <f t="shared" si="6"/>
        <v>190.7184999999996</v>
      </c>
      <c r="Q25" s="79">
        <f t="shared" si="6"/>
        <v>644.2524999999994</v>
      </c>
      <c r="R25" s="79">
        <f t="shared" si="6"/>
        <v>626.8824999999995</v>
      </c>
      <c r="S25" s="79">
        <f t="shared" si="6"/>
        <v>372.9004999999994</v>
      </c>
      <c r="T25" s="79">
        <f t="shared" si="6"/>
        <v>25.520499999999743</v>
      </c>
      <c r="U25" s="79">
        <f t="shared" si="6"/>
        <v>512.3904999999996</v>
      </c>
      <c r="V25" s="79">
        <f t="shared" si="6"/>
        <v>266.9204999999994</v>
      </c>
      <c r="W25" s="79">
        <f t="shared" si="6"/>
        <v>543.8104999999997</v>
      </c>
      <c r="X25" s="79">
        <f t="shared" si="6"/>
        <v>469.8104999999997</v>
      </c>
      <c r="Y25" s="78">
        <f t="shared" si="3"/>
        <v>1718.6619999999957</v>
      </c>
      <c r="Z25" s="76"/>
    </row>
    <row r="26" spans="1:26" ht="24" customHeight="1" thickBot="1">
      <c r="A26" s="89" t="s">
        <v>41</v>
      </c>
      <c r="B26" s="96" t="s">
        <v>23</v>
      </c>
      <c r="C26" s="97">
        <v>4564.06</v>
      </c>
      <c r="D26" s="98">
        <v>17381.91</v>
      </c>
      <c r="E26" s="99">
        <f>SUM(E8-E10)</f>
        <v>8100.25</v>
      </c>
      <c r="F26" s="100">
        <f>SUM(F8-F10)</f>
        <v>13000.749999999993</v>
      </c>
      <c r="G26" s="100">
        <f>SUM(G8-G10)</f>
        <v>9263.650000000001</v>
      </c>
      <c r="H26" s="101">
        <f>SUM(H8-H10)-H24</f>
        <v>-3003.5379999999955</v>
      </c>
      <c r="I26" s="101">
        <f>SUM(I8-I10)-I24</f>
        <v>-6947.089999999997</v>
      </c>
      <c r="J26" s="101">
        <f>SUM(J8-J10)-J24</f>
        <v>1311.4660000000108</v>
      </c>
      <c r="K26" s="101">
        <f>SUM(K8+K9-K10)-K24</f>
        <v>2285.716000000011</v>
      </c>
      <c r="L26" s="101">
        <f>SUM(L8+L9-L10)-L24</f>
        <v>-4072.5840000000067</v>
      </c>
      <c r="M26" s="102">
        <f>SUM(M8+M9-M10)-M24</f>
        <v>470.0510000000004</v>
      </c>
      <c r="N26" s="103">
        <f>SUM(N25+M26)</f>
        <v>-2649.636</v>
      </c>
      <c r="O26" s="103">
        <f>SUM(O25+N26)</f>
        <v>-1934.5445000000002</v>
      </c>
      <c r="P26" s="103">
        <f aca="true" t="shared" si="7" ref="P26:X26">SUM(P25+O26)</f>
        <v>-1743.8260000000005</v>
      </c>
      <c r="Q26" s="103">
        <f t="shared" si="7"/>
        <v>-1099.573500000001</v>
      </c>
      <c r="R26" s="103">
        <f t="shared" si="7"/>
        <v>-472.6910000000016</v>
      </c>
      <c r="S26" s="103">
        <f t="shared" si="7"/>
        <v>-99.79050000000223</v>
      </c>
      <c r="T26" s="103">
        <f t="shared" si="7"/>
        <v>-74.27000000000248</v>
      </c>
      <c r="U26" s="103">
        <f t="shared" si="7"/>
        <v>438.12049999999715</v>
      </c>
      <c r="V26" s="103">
        <f t="shared" si="7"/>
        <v>705.0409999999965</v>
      </c>
      <c r="W26" s="103">
        <f t="shared" si="7"/>
        <v>1248.8514999999961</v>
      </c>
      <c r="X26" s="103">
        <f t="shared" si="7"/>
        <v>1718.6619999999957</v>
      </c>
      <c r="Y26" s="100"/>
      <c r="Z26" s="104"/>
    </row>
    <row r="27" spans="1:26" ht="21" customHeight="1" thickBot="1">
      <c r="A27" s="36" t="s">
        <v>42</v>
      </c>
      <c r="B27" s="43" t="s">
        <v>24</v>
      </c>
      <c r="C27" s="39">
        <v>4564.06</v>
      </c>
      <c r="D27" s="43">
        <v>21945.96</v>
      </c>
      <c r="E27" s="18">
        <f>SUM(E8-E10,D27)</f>
        <v>30046.21</v>
      </c>
      <c r="F27" s="60">
        <f>SUM(F8-F10,E27)</f>
        <v>43046.95999999999</v>
      </c>
      <c r="G27" s="60">
        <f>SUM(G8-G10,F27)</f>
        <v>52310.60999999999</v>
      </c>
      <c r="H27" s="82">
        <f aca="true" t="shared" si="8" ref="H27:M27">SUM(H26+G27)</f>
        <v>49307.072</v>
      </c>
      <c r="I27" s="82">
        <f t="shared" si="8"/>
        <v>42359.982</v>
      </c>
      <c r="J27" s="82">
        <f t="shared" si="8"/>
        <v>43671.44800000001</v>
      </c>
      <c r="K27" s="82">
        <f t="shared" si="8"/>
        <v>45957.16400000002</v>
      </c>
      <c r="L27" s="82">
        <f t="shared" si="8"/>
        <v>41884.58000000001</v>
      </c>
      <c r="M27" s="82">
        <f t="shared" si="8"/>
        <v>42354.63100000001</v>
      </c>
      <c r="N27" s="80">
        <f>SUM(N25+M27)</f>
        <v>39234.94400000001</v>
      </c>
      <c r="O27" s="80">
        <f aca="true" t="shared" si="9" ref="O27:W27">SUM(O25+N27)</f>
        <v>39950.03550000001</v>
      </c>
      <c r="P27" s="80">
        <f t="shared" si="9"/>
        <v>40140.754000000015</v>
      </c>
      <c r="Q27" s="80">
        <f t="shared" si="9"/>
        <v>40785.00650000002</v>
      </c>
      <c r="R27" s="80">
        <f t="shared" si="9"/>
        <v>41411.88900000002</v>
      </c>
      <c r="S27" s="80">
        <f t="shared" si="9"/>
        <v>41784.78950000001</v>
      </c>
      <c r="T27" s="80">
        <f t="shared" si="9"/>
        <v>41810.31000000001</v>
      </c>
      <c r="U27" s="80">
        <f t="shared" si="9"/>
        <v>42322.70050000001</v>
      </c>
      <c r="V27" s="80">
        <f t="shared" si="9"/>
        <v>42589.621000000014</v>
      </c>
      <c r="W27" s="80">
        <f t="shared" si="9"/>
        <v>43133.43150000001</v>
      </c>
      <c r="X27" s="80">
        <f>SUM(X25+W27)</f>
        <v>43603.24200000001</v>
      </c>
      <c r="Y27" s="60"/>
      <c r="Z27" s="53"/>
    </row>
    <row r="28" spans="1:26" ht="9" customHeight="1" hidden="1" thickBot="1">
      <c r="A28" s="36" t="s">
        <v>43</v>
      </c>
      <c r="B28" s="43" t="s">
        <v>8</v>
      </c>
      <c r="C28" s="40"/>
      <c r="D28" s="44"/>
      <c r="E28" s="44"/>
      <c r="F28" s="40"/>
      <c r="G28" s="40"/>
      <c r="H28" s="40"/>
      <c r="I28" s="40"/>
      <c r="J28" s="40"/>
      <c r="K28" s="40"/>
      <c r="L28" s="40"/>
      <c r="M28" s="1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20"/>
      <c r="Y28" s="59"/>
      <c r="Z28" s="54"/>
    </row>
    <row r="29" spans="1:26" ht="15" customHeight="1" hidden="1" thickBot="1">
      <c r="A29" s="37" t="s">
        <v>44</v>
      </c>
      <c r="B29" s="33" t="s">
        <v>25</v>
      </c>
      <c r="C29" s="40"/>
      <c r="D29" s="44"/>
      <c r="E29" s="44"/>
      <c r="F29" s="40"/>
      <c r="G29" s="40"/>
      <c r="H29" s="40"/>
      <c r="I29" s="40"/>
      <c r="J29" s="40"/>
      <c r="K29" s="40"/>
      <c r="L29" s="40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0"/>
      <c r="Y29" s="60"/>
      <c r="Z29" s="55"/>
    </row>
    <row r="30" spans="1:26" ht="12" customHeight="1" hidden="1" thickBot="1">
      <c r="A30" s="37" t="s">
        <v>47</v>
      </c>
      <c r="B30" s="34" t="s">
        <v>48</v>
      </c>
      <c r="C30" s="41"/>
      <c r="D30" s="45"/>
      <c r="E30" s="45"/>
      <c r="F30" s="41"/>
      <c r="G30" s="41"/>
      <c r="H30" s="41"/>
      <c r="I30" s="41"/>
      <c r="J30" s="41"/>
      <c r="K30" s="41"/>
      <c r="L30" s="41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5">
        <f>SUM(X26-X28)</f>
        <v>1718.6619999999957</v>
      </c>
      <c r="Y30" s="61"/>
      <c r="Z30" s="56"/>
    </row>
    <row r="31" spans="1:26" ht="23.25" customHeight="1" hidden="1" thickBot="1">
      <c r="A31" s="62" t="s">
        <v>52</v>
      </c>
      <c r="B31" s="34" t="s">
        <v>26</v>
      </c>
      <c r="C31" s="41"/>
      <c r="D31" s="45"/>
      <c r="E31" s="45"/>
      <c r="F31" s="41"/>
      <c r="G31" s="41"/>
      <c r="H31" s="41"/>
      <c r="I31" s="41"/>
      <c r="J31" s="41"/>
      <c r="K31" s="41"/>
      <c r="L31" s="41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5">
        <f>SUM(X27-X28)</f>
        <v>43603.24200000001</v>
      </c>
      <c r="Y31" s="61"/>
      <c r="Z31" s="56"/>
    </row>
    <row r="32" spans="3:26" ht="24" customHeight="1" hidden="1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3"/>
    </row>
    <row r="33" ht="12.75" hidden="1"/>
    <row r="34" ht="0.75" customHeight="1" hidden="1"/>
    <row r="35" ht="12.75" hidden="1"/>
    <row r="36" ht="12.75" hidden="1"/>
    <row r="37" ht="12.75">
      <c r="B37" t="s">
        <v>68</v>
      </c>
    </row>
    <row r="41" ht="12.75" customHeight="1"/>
    <row r="42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2020-02-20T12:47:53Z</cp:lastPrinted>
  <dcterms:created xsi:type="dcterms:W3CDTF">2011-06-16T11:06:26Z</dcterms:created>
  <dcterms:modified xsi:type="dcterms:W3CDTF">2020-02-20T12:47:55Z</dcterms:modified>
  <cp:category/>
  <cp:version/>
  <cp:contentType/>
  <cp:contentStatus/>
</cp:coreProperties>
</file>