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9995" windowHeight="102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<sst xmlns="http://schemas.openxmlformats.org/spreadsheetml/2006/main" count="77" uniqueCount="76">
  <si>
    <t>СПРАВКА</t>
  </si>
  <si>
    <t xml:space="preserve">Начислено  </t>
  </si>
  <si>
    <t>Расходы</t>
  </si>
  <si>
    <t>Услуги РИРЦ</t>
  </si>
  <si>
    <t>Вывоз ТБО</t>
  </si>
  <si>
    <t>Тех.обслуж.газового обор.</t>
  </si>
  <si>
    <t>Дератизация, дезинфекция</t>
  </si>
  <si>
    <t>Наименование</t>
  </si>
  <si>
    <t>Задолженность по неплательщикам</t>
  </si>
  <si>
    <t>Зар. Плата+налоги</t>
  </si>
  <si>
    <t xml:space="preserve">                               о поступлении   и   расходовании   денежных   средств  по  услуге   содержание   и   техническое обслуживание                                                                                                                   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</si>
  <si>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</si>
  <si>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</si>
  <si>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</si>
  <si>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</si>
  <si>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</si>
  <si>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</si>
  <si>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</si>
  <si>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</si>
  <si>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</si>
  <si>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октябоь</t>
  </si>
  <si>
    <t>декабрь</t>
  </si>
  <si>
    <t>ноябрь</t>
  </si>
  <si>
    <t>Фин.результат с начала года</t>
  </si>
  <si>
    <t>Фин.результат с начала деятельности</t>
  </si>
  <si>
    <t>Задолженность на 01.05.2011г</t>
  </si>
  <si>
    <t>Финансовый результат по дому с начала деятельности</t>
  </si>
  <si>
    <t>№</t>
  </si>
  <si>
    <t>1</t>
  </si>
  <si>
    <t>4</t>
  </si>
  <si>
    <t>4.1</t>
  </si>
  <si>
    <t>4.2</t>
  </si>
  <si>
    <t>4.4</t>
  </si>
  <si>
    <t>4.5</t>
  </si>
  <si>
    <t>4.6</t>
  </si>
  <si>
    <t>4.7</t>
  </si>
  <si>
    <t>4.8</t>
  </si>
  <si>
    <t>4.9</t>
  </si>
  <si>
    <t>4.10</t>
  </si>
  <si>
    <t>4.11</t>
  </si>
  <si>
    <t>5</t>
  </si>
  <si>
    <t>6</t>
  </si>
  <si>
    <t>7</t>
  </si>
  <si>
    <t>8</t>
  </si>
  <si>
    <t>9</t>
  </si>
  <si>
    <t>за 2010 г</t>
  </si>
  <si>
    <t>10</t>
  </si>
  <si>
    <t>Финансовый результат по дому с начала года</t>
  </si>
  <si>
    <t>по жилому дому г. Унеча ул. Нахимова д.6 А</t>
  </si>
  <si>
    <t>Итого за 2011 г</t>
  </si>
  <si>
    <t>Результат за месяц</t>
  </si>
  <si>
    <t>Итого за 2012 г</t>
  </si>
  <si>
    <t>Благоустройство территории</t>
  </si>
  <si>
    <t>4.12</t>
  </si>
  <si>
    <t>4.13</t>
  </si>
  <si>
    <t>Итого за 2013 г</t>
  </si>
  <si>
    <t>Итого за 2014 г</t>
  </si>
  <si>
    <t>рентабельность 5%</t>
  </si>
  <si>
    <t xml:space="preserve">Материалы </t>
  </si>
  <si>
    <t>Итого за 2015 г</t>
  </si>
  <si>
    <t>Услуги сторонних орган.</t>
  </si>
  <si>
    <t>Транспортные(ГСМ,зап.части,амортизация,страхование ит.д.)</t>
  </si>
  <si>
    <t xml:space="preserve">Расходы на управление,аренда, связь </t>
  </si>
  <si>
    <t xml:space="preserve">УслугиМФЦ,агентские,охрана труда,отопление, хол.вода, эл.энегрия   </t>
  </si>
  <si>
    <t>Исполнитель  вед. экономист /Викторова Л.С./</t>
  </si>
  <si>
    <t>Итого за 2016 г</t>
  </si>
  <si>
    <t>Проверка вент.каналов</t>
  </si>
  <si>
    <t>Итого за 2017 г</t>
  </si>
  <si>
    <t>Начислено  СОИД</t>
  </si>
  <si>
    <t>Электроэнергия СОИД</t>
  </si>
  <si>
    <t>Горячая вода СОИД</t>
  </si>
  <si>
    <t>Итого за 2018 г</t>
  </si>
  <si>
    <t>Итого за 2019 г</t>
  </si>
  <si>
    <t>Всего за  2010-2019</t>
  </si>
  <si>
    <t>Дом по ул.Нахимова д.6 А вступил в ООО "Наш дом" с апреля 2010 года    тариф 9,2 руб с января 2019 года тариф 8,6 руб.</t>
  </si>
  <si>
    <t>ООО "НД УНЕЧА"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</si>
</sst>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0">
    <font>
      <sz val="10"/>
      <name val="Arial Cyr"/>
      <family val="0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9"/>
      <name val="Arial Cyr"/>
      <family val="0"/>
    </font>
    <font>
      <sz val="8"/>
      <color indexed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sz val="10"/>
      <color indexed="10"/>
      <name val="Arial Cyr"/>
      <family val="0"/>
    </font>
    <font>
      <i/>
      <sz val="8"/>
      <name val="Arial Cyr"/>
      <family val="0"/>
    </font>
    <font>
      <sz val="9"/>
      <color indexed="10"/>
      <name val="Arial Cyr"/>
      <family val="0"/>
    </font>
    <font>
      <b/>
      <sz val="8"/>
      <name val="Arial Cyr"/>
      <family val="0"/>
    </font>
    <font>
      <b/>
      <sz val="9"/>
      <color indexed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10" fillId="15" borderId="7" applyNumberFormat="0" applyAlignment="0" applyProtection="0"/>
    <xf numFmtId="0" fontId="11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16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7" borderId="0" applyNumberFormat="0" applyBorder="0" applyAlignment="0" applyProtection="0"/>
  </cellStyleXfs>
  <cellXfs count="97">
    <xf numFmtId="0" fontId="0" fillId="0" borderId="0" xfId="0" applyAlignment="1">
      <alignment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vertical="center" wrapText="1"/>
    </xf>
    <xf numFmtId="0" fontId="23" fillId="0" borderId="0" xfId="0" applyFont="1" applyAlignment="1">
      <alignment vertical="center" wrapText="1"/>
    </xf>
    <xf numFmtId="0" fontId="22" fillId="0" borderId="0" xfId="0" applyFont="1" applyBorder="1" applyAlignment="1">
      <alignment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/>
    </xf>
    <xf numFmtId="0" fontId="21" fillId="0" borderId="13" xfId="0" applyFont="1" applyBorder="1" applyAlignment="1">
      <alignment/>
    </xf>
    <xf numFmtId="0" fontId="21" fillId="0" borderId="14" xfId="0" applyFont="1" applyBorder="1" applyAlignment="1">
      <alignment/>
    </xf>
    <xf numFmtId="0" fontId="21" fillId="0" borderId="15" xfId="0" applyFont="1" applyBorder="1" applyAlignment="1">
      <alignment/>
    </xf>
    <xf numFmtId="0" fontId="21" fillId="0" borderId="16" xfId="0" applyFont="1" applyBorder="1" applyAlignment="1">
      <alignment/>
    </xf>
    <xf numFmtId="0" fontId="21" fillId="0" borderId="17" xfId="0" applyFont="1" applyBorder="1" applyAlignment="1">
      <alignment/>
    </xf>
    <xf numFmtId="0" fontId="21" fillId="0" borderId="18" xfId="0" applyFont="1" applyBorder="1" applyAlignment="1">
      <alignment/>
    </xf>
    <xf numFmtId="0" fontId="21" fillId="0" borderId="19" xfId="0" applyFont="1" applyBorder="1" applyAlignment="1">
      <alignment/>
    </xf>
    <xf numFmtId="0" fontId="19" fillId="0" borderId="20" xfId="0" applyFont="1" applyBorder="1" applyAlignment="1">
      <alignment horizontal="center" vertical="center" wrapText="1"/>
    </xf>
    <xf numFmtId="0" fontId="21" fillId="0" borderId="21" xfId="0" applyFont="1" applyBorder="1" applyAlignment="1">
      <alignment/>
    </xf>
    <xf numFmtId="0" fontId="21" fillId="0" borderId="22" xfId="0" applyFont="1" applyBorder="1" applyAlignment="1">
      <alignment/>
    </xf>
    <xf numFmtId="0" fontId="21" fillId="0" borderId="23" xfId="0" applyFont="1" applyBorder="1" applyAlignment="1">
      <alignment/>
    </xf>
    <xf numFmtId="0" fontId="21" fillId="0" borderId="24" xfId="0" applyFont="1" applyBorder="1" applyAlignment="1">
      <alignment/>
    </xf>
    <xf numFmtId="0" fontId="21" fillId="0" borderId="25" xfId="0" applyFont="1" applyBorder="1" applyAlignment="1">
      <alignment/>
    </xf>
    <xf numFmtId="0" fontId="23" fillId="0" borderId="26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21" fillId="2" borderId="0" xfId="0" applyFont="1" applyFill="1" applyBorder="1" applyAlignment="1">
      <alignment wrapText="1"/>
    </xf>
    <xf numFmtId="0" fontId="20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20" fillId="2" borderId="18" xfId="0" applyFont="1" applyFill="1" applyBorder="1" applyAlignment="1">
      <alignment/>
    </xf>
    <xf numFmtId="0" fontId="20" fillId="2" borderId="28" xfId="0" applyFont="1" applyFill="1" applyBorder="1" applyAlignment="1">
      <alignment/>
    </xf>
    <xf numFmtId="0" fontId="0" fillId="2" borderId="26" xfId="0" applyFill="1" applyBorder="1" applyAlignment="1">
      <alignment/>
    </xf>
    <xf numFmtId="0" fontId="25" fillId="0" borderId="26" xfId="0" applyFont="1" applyBorder="1" applyAlignment="1">
      <alignment/>
    </xf>
    <xf numFmtId="49" fontId="0" fillId="0" borderId="0" xfId="0" applyNumberFormat="1" applyAlignment="1">
      <alignment horizontal="center"/>
    </xf>
    <xf numFmtId="0" fontId="23" fillId="0" borderId="29" xfId="0" applyFont="1" applyBorder="1" applyAlignment="1">
      <alignment horizontal="left" vertical="center" wrapText="1"/>
    </xf>
    <xf numFmtId="0" fontId="24" fillId="0" borderId="30" xfId="0" applyFont="1" applyBorder="1" applyAlignment="1">
      <alignment wrapText="1"/>
    </xf>
    <xf numFmtId="0" fontId="21" fillId="0" borderId="31" xfId="0" applyFont="1" applyBorder="1" applyAlignment="1">
      <alignment horizontal="left" wrapText="1"/>
    </xf>
    <xf numFmtId="49" fontId="21" fillId="0" borderId="30" xfId="0" applyNumberFormat="1" applyFont="1" applyBorder="1" applyAlignment="1">
      <alignment wrapText="1"/>
    </xf>
    <xf numFmtId="0" fontId="21" fillId="0" borderId="31" xfId="0" applyFont="1" applyBorder="1" applyAlignment="1">
      <alignment wrapText="1"/>
    </xf>
    <xf numFmtId="0" fontId="21" fillId="0" borderId="32" xfId="0" applyFont="1" applyBorder="1" applyAlignment="1">
      <alignment wrapText="1"/>
    </xf>
    <xf numFmtId="0" fontId="21" fillId="0" borderId="33" xfId="0" applyFont="1" applyBorder="1" applyAlignment="1">
      <alignment wrapText="1"/>
    </xf>
    <xf numFmtId="0" fontId="21" fillId="2" borderId="33" xfId="0" applyFont="1" applyFill="1" applyBorder="1" applyAlignment="1">
      <alignment wrapText="1"/>
    </xf>
    <xf numFmtId="49" fontId="0" fillId="0" borderId="34" xfId="0" applyNumberFormat="1" applyBorder="1" applyAlignment="1">
      <alignment horizontal="center"/>
    </xf>
    <xf numFmtId="49" fontId="0" fillId="0" borderId="35" xfId="0" applyNumberFormat="1" applyBorder="1" applyAlignment="1">
      <alignment horizontal="center"/>
    </xf>
    <xf numFmtId="49" fontId="0" fillId="0" borderId="36" xfId="0" applyNumberFormat="1" applyBorder="1" applyAlignment="1">
      <alignment horizontal="center"/>
    </xf>
    <xf numFmtId="0" fontId="23" fillId="0" borderId="26" xfId="0" applyFont="1" applyBorder="1" applyAlignment="1">
      <alignment horizontal="left" vertical="center" wrapText="1"/>
    </xf>
    <xf numFmtId="0" fontId="21" fillId="0" borderId="26" xfId="0" applyFont="1" applyBorder="1" applyAlignment="1">
      <alignment wrapText="1"/>
    </xf>
    <xf numFmtId="0" fontId="21" fillId="0" borderId="37" xfId="0" applyFont="1" applyBorder="1" applyAlignment="1">
      <alignment wrapText="1"/>
    </xf>
    <xf numFmtId="0" fontId="21" fillId="2" borderId="37" xfId="0" applyFont="1" applyFill="1" applyBorder="1" applyAlignment="1">
      <alignment wrapText="1"/>
    </xf>
    <xf numFmtId="2" fontId="21" fillId="0" borderId="38" xfId="0" applyNumberFormat="1" applyFont="1" applyBorder="1" applyAlignment="1">
      <alignment horizontal="right" wrapText="1"/>
    </xf>
    <xf numFmtId="2" fontId="21" fillId="0" borderId="35" xfId="0" applyNumberFormat="1" applyFont="1" applyBorder="1" applyAlignment="1">
      <alignment horizontal="right" wrapText="1"/>
    </xf>
    <xf numFmtId="2" fontId="21" fillId="0" borderId="36" xfId="0" applyNumberFormat="1" applyFont="1" applyBorder="1" applyAlignment="1">
      <alignment horizontal="right" wrapText="1"/>
    </xf>
    <xf numFmtId="0" fontId="21" fillId="0" borderId="26" xfId="0" applyFont="1" applyBorder="1" applyAlignment="1">
      <alignment/>
    </xf>
    <xf numFmtId="0" fontId="19" fillId="0" borderId="26" xfId="0" applyFont="1" applyBorder="1" applyAlignment="1">
      <alignment horizontal="center" vertical="center" wrapText="1"/>
    </xf>
    <xf numFmtId="0" fontId="21" fillId="0" borderId="38" xfId="0" applyFont="1" applyBorder="1" applyAlignment="1">
      <alignment/>
    </xf>
    <xf numFmtId="0" fontId="21" fillId="0" borderId="37" xfId="0" applyFont="1" applyBorder="1" applyAlignment="1">
      <alignment/>
    </xf>
    <xf numFmtId="0" fontId="20" fillId="2" borderId="37" xfId="0" applyFont="1" applyFill="1" applyBorder="1" applyAlignment="1">
      <alignment/>
    </xf>
    <xf numFmtId="0" fontId="21" fillId="0" borderId="39" xfId="0" applyFont="1" applyBorder="1" applyAlignment="1">
      <alignment wrapText="1"/>
    </xf>
    <xf numFmtId="2" fontId="21" fillId="0" borderId="27" xfId="0" applyNumberFormat="1" applyFont="1" applyBorder="1" applyAlignment="1">
      <alignment horizontal="right" wrapText="1"/>
    </xf>
    <xf numFmtId="0" fontId="26" fillId="0" borderId="34" xfId="0" applyFont="1" applyBorder="1" applyAlignment="1">
      <alignment wrapText="1"/>
    </xf>
    <xf numFmtId="0" fontId="21" fillId="0" borderId="28" xfId="0" applyFont="1" applyBorder="1" applyAlignment="1">
      <alignment wrapText="1"/>
    </xf>
    <xf numFmtId="0" fontId="21" fillId="2" borderId="28" xfId="0" applyFont="1" applyFill="1" applyBorder="1" applyAlignment="1">
      <alignment wrapText="1"/>
    </xf>
    <xf numFmtId="0" fontId="26" fillId="0" borderId="40" xfId="0" applyFont="1" applyBorder="1" applyAlignment="1">
      <alignment wrapText="1"/>
    </xf>
    <xf numFmtId="2" fontId="21" fillId="0" borderId="40" xfId="0" applyNumberFormat="1" applyFont="1" applyBorder="1" applyAlignment="1">
      <alignment horizontal="right" wrapText="1"/>
    </xf>
    <xf numFmtId="2" fontId="21" fillId="0" borderId="41" xfId="0" applyNumberFormat="1" applyFont="1" applyBorder="1" applyAlignment="1">
      <alignment horizontal="right" wrapText="1"/>
    </xf>
    <xf numFmtId="2" fontId="21" fillId="0" borderId="42" xfId="0" applyNumberFormat="1" applyFont="1" applyBorder="1" applyAlignment="1">
      <alignment horizontal="right" wrapText="1"/>
    </xf>
    <xf numFmtId="2" fontId="21" fillId="0" borderId="43" xfId="0" applyNumberFormat="1" applyFont="1" applyBorder="1" applyAlignment="1">
      <alignment horizontal="right" wrapText="1"/>
    </xf>
    <xf numFmtId="2" fontId="21" fillId="0" borderId="26" xfId="0" applyNumberFormat="1" applyFont="1" applyBorder="1" applyAlignment="1">
      <alignment horizontal="right" wrapText="1"/>
    </xf>
    <xf numFmtId="2" fontId="21" fillId="0" borderId="44" xfId="0" applyNumberFormat="1" applyFont="1" applyBorder="1" applyAlignment="1">
      <alignment horizontal="right" wrapText="1"/>
    </xf>
    <xf numFmtId="2" fontId="21" fillId="0" borderId="45" xfId="0" applyNumberFormat="1" applyFont="1" applyBorder="1" applyAlignment="1">
      <alignment/>
    </xf>
    <xf numFmtId="2" fontId="21" fillId="0" borderId="26" xfId="0" applyNumberFormat="1" applyFont="1" applyBorder="1" applyAlignment="1">
      <alignment/>
    </xf>
    <xf numFmtId="2" fontId="21" fillId="0" borderId="46" xfId="0" applyNumberFormat="1" applyFont="1" applyBorder="1" applyAlignment="1">
      <alignment/>
    </xf>
    <xf numFmtId="2" fontId="21" fillId="0" borderId="10" xfId="0" applyNumberFormat="1" applyFont="1" applyBorder="1" applyAlignment="1">
      <alignment/>
    </xf>
    <xf numFmtId="2" fontId="21" fillId="0" borderId="29" xfId="0" applyNumberFormat="1" applyFont="1" applyBorder="1" applyAlignment="1">
      <alignment/>
    </xf>
    <xf numFmtId="0" fontId="26" fillId="0" borderId="38" xfId="0" applyFont="1" applyBorder="1" applyAlignment="1">
      <alignment wrapText="1"/>
    </xf>
    <xf numFmtId="0" fontId="27" fillId="0" borderId="34" xfId="0" applyFont="1" applyBorder="1" applyAlignment="1">
      <alignment/>
    </xf>
    <xf numFmtId="2" fontId="27" fillId="0" borderId="26" xfId="0" applyNumberFormat="1" applyFont="1" applyBorder="1" applyAlignment="1">
      <alignment/>
    </xf>
    <xf numFmtId="2" fontId="27" fillId="0" borderId="47" xfId="0" applyNumberFormat="1" applyFont="1" applyBorder="1" applyAlignment="1">
      <alignment/>
    </xf>
    <xf numFmtId="2" fontId="21" fillId="0" borderId="27" xfId="0" applyNumberFormat="1" applyFont="1" applyBorder="1" applyAlignment="1">
      <alignment/>
    </xf>
    <xf numFmtId="2" fontId="21" fillId="0" borderId="47" xfId="0" applyNumberFormat="1" applyFont="1" applyBorder="1" applyAlignment="1">
      <alignment/>
    </xf>
    <xf numFmtId="49" fontId="22" fillId="0" borderId="35" xfId="0" applyNumberFormat="1" applyFont="1" applyBorder="1" applyAlignment="1">
      <alignment horizontal="center"/>
    </xf>
    <xf numFmtId="0" fontId="19" fillId="0" borderId="29" xfId="0" applyFont="1" applyBorder="1" applyAlignment="1">
      <alignment wrapText="1"/>
    </xf>
    <xf numFmtId="0" fontId="28" fillId="0" borderId="26" xfId="0" applyFont="1" applyBorder="1" applyAlignment="1">
      <alignment/>
    </xf>
    <xf numFmtId="0" fontId="28" fillId="0" borderId="23" xfId="0" applyFont="1" applyBorder="1" applyAlignment="1">
      <alignment/>
    </xf>
    <xf numFmtId="0" fontId="28" fillId="0" borderId="11" xfId="0" applyFont="1" applyBorder="1" applyAlignment="1">
      <alignment/>
    </xf>
    <xf numFmtId="2" fontId="29" fillId="0" borderId="26" xfId="0" applyNumberFormat="1" applyFont="1" applyBorder="1" applyAlignment="1">
      <alignment/>
    </xf>
    <xf numFmtId="0" fontId="22" fillId="0" borderId="0" xfId="0" applyFont="1" applyAlignment="1">
      <alignment/>
    </xf>
    <xf numFmtId="0" fontId="28" fillId="0" borderId="48" xfId="0" applyFont="1" applyBorder="1" applyAlignment="1">
      <alignment wrapText="1"/>
    </xf>
    <xf numFmtId="0" fontId="28" fillId="0" borderId="47" xfId="0" applyFont="1" applyBorder="1" applyAlignment="1">
      <alignment wrapText="1"/>
    </xf>
    <xf numFmtId="0" fontId="28" fillId="0" borderId="49" xfId="0" applyFont="1" applyBorder="1" applyAlignment="1">
      <alignment/>
    </xf>
    <xf numFmtId="0" fontId="28" fillId="0" borderId="47" xfId="0" applyFont="1" applyBorder="1" applyAlignment="1">
      <alignment/>
    </xf>
    <xf numFmtId="2" fontId="28" fillId="0" borderId="26" xfId="0" applyNumberFormat="1" applyFont="1" applyBorder="1" applyAlignment="1">
      <alignment/>
    </xf>
    <xf numFmtId="2" fontId="28" fillId="0" borderId="46" xfId="0" applyNumberFormat="1" applyFont="1" applyBorder="1" applyAlignment="1">
      <alignment/>
    </xf>
    <xf numFmtId="2" fontId="28" fillId="0" borderId="50" xfId="0" applyNumberFormat="1" applyFont="1" applyBorder="1" applyAlignment="1">
      <alignment/>
    </xf>
    <xf numFmtId="0" fontId="22" fillId="0" borderId="47" xfId="0" applyFont="1" applyBorder="1" applyAlignment="1">
      <alignment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2" fillId="0" borderId="0" xfId="0" applyFont="1" applyBorder="1" applyAlignment="1">
      <alignment horizontal="left" wrapText="1"/>
    </xf>
    <xf numFmtId="0" fontId="0" fillId="0" borderId="0" xfId="0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4"/>
  <sheetViews>
    <sheetView tabSelected="1" zoomScalePageLayoutView="0" workbookViewId="0" topLeftCell="A7">
      <selection activeCell="B1" sqref="B1:N1"/>
    </sheetView>
  </sheetViews>
  <sheetFormatPr defaultColWidth="9.00390625" defaultRowHeight="12.75"/>
  <cols>
    <col min="1" max="1" width="3.375" style="31" customWidth="1"/>
    <col min="2" max="2" width="20.875" style="0" customWidth="1"/>
    <col min="3" max="3" width="7.375" style="0" hidden="1" customWidth="1"/>
    <col min="4" max="4" width="7.625" style="0" hidden="1" customWidth="1"/>
    <col min="5" max="5" width="10.25390625" style="0" hidden="1" customWidth="1"/>
    <col min="6" max="6" width="9.25390625" style="0" hidden="1" customWidth="1"/>
    <col min="7" max="7" width="9.75390625" style="0" hidden="1" customWidth="1"/>
    <col min="8" max="8" width="9.375" style="0" hidden="1" customWidth="1"/>
    <col min="9" max="9" width="9.875" style="0" hidden="1" customWidth="1"/>
    <col min="10" max="10" width="9.625" style="0" hidden="1" customWidth="1"/>
    <col min="11" max="11" width="9.75390625" style="0" hidden="1" customWidth="1"/>
    <col min="12" max="12" width="9.25390625" style="0" customWidth="1"/>
    <col min="13" max="13" width="8.25390625" style="0" customWidth="1"/>
    <col min="14" max="14" width="8.125" style="0" customWidth="1"/>
    <col min="15" max="15" width="8.00390625" style="0" customWidth="1"/>
    <col min="16" max="17" width="8.375" style="0" customWidth="1"/>
    <col min="18" max="18" width="8.25390625" style="0" customWidth="1"/>
    <col min="19" max="19" width="8.875" style="0" customWidth="1"/>
    <col min="20" max="20" width="8.375" style="0" customWidth="1"/>
    <col min="21" max="22" width="8.125" style="0" customWidth="1"/>
    <col min="23" max="23" width="8.875" style="0" customWidth="1"/>
    <col min="24" max="24" width="9.25390625" style="0" customWidth="1"/>
    <col min="25" max="25" width="10.00390625" style="0" customWidth="1"/>
  </cols>
  <sheetData>
    <row r="1" spans="2:30" ht="12.75" customHeight="1">
      <c r="B1" s="95" t="s">
        <v>75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 spans="2:30" ht="12.75" customHeight="1">
      <c r="B2" s="95" t="s">
        <v>74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6"/>
      <c r="W2" s="96"/>
      <c r="X2" s="96"/>
      <c r="Y2" s="4"/>
      <c r="Z2" s="4"/>
      <c r="AA2" s="4"/>
      <c r="AB2" s="4"/>
      <c r="AC2" s="4"/>
      <c r="AD2" s="4"/>
    </row>
    <row r="3" spans="2:30" ht="12.75" customHeight="1">
      <c r="B3" s="94" t="s">
        <v>0</v>
      </c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3"/>
      <c r="AA3" s="3"/>
      <c r="AB3" s="3"/>
      <c r="AC3" s="3"/>
      <c r="AD3" s="3"/>
    </row>
    <row r="4" spans="2:30" ht="15" customHeight="1">
      <c r="B4" s="93" t="s">
        <v>10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2"/>
      <c r="AA4" s="2"/>
      <c r="AB4" s="2"/>
      <c r="AC4" s="2"/>
      <c r="AD4" s="2"/>
    </row>
    <row r="5" spans="2:30" ht="16.5" customHeight="1" thickBot="1">
      <c r="B5" s="93" t="s">
        <v>48</v>
      </c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2"/>
      <c r="AA5" s="2"/>
      <c r="AB5" s="2"/>
      <c r="AC5" s="2"/>
      <c r="AD5" s="2"/>
    </row>
    <row r="6" spans="2:30" ht="16.5" customHeight="1" hidden="1" thickBot="1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2"/>
      <c r="AA6" s="2"/>
      <c r="AB6" s="2"/>
      <c r="AC6" s="2"/>
      <c r="AD6" s="2"/>
    </row>
    <row r="7" spans="1:30" ht="31.5" customHeight="1" thickBot="1">
      <c r="A7" s="40" t="s">
        <v>27</v>
      </c>
      <c r="B7" s="32" t="s">
        <v>7</v>
      </c>
      <c r="C7" s="43" t="s">
        <v>45</v>
      </c>
      <c r="D7" s="51" t="s">
        <v>49</v>
      </c>
      <c r="E7" s="51" t="s">
        <v>51</v>
      </c>
      <c r="F7" s="51" t="s">
        <v>55</v>
      </c>
      <c r="G7" s="51" t="s">
        <v>56</v>
      </c>
      <c r="H7" s="51" t="s">
        <v>59</v>
      </c>
      <c r="I7" s="51" t="s">
        <v>65</v>
      </c>
      <c r="J7" s="51" t="s">
        <v>67</v>
      </c>
      <c r="K7" s="51" t="s">
        <v>71</v>
      </c>
      <c r="L7" s="6" t="s">
        <v>11</v>
      </c>
      <c r="M7" s="5" t="s">
        <v>12</v>
      </c>
      <c r="N7" s="5" t="s">
        <v>13</v>
      </c>
      <c r="O7" s="5" t="s">
        <v>14</v>
      </c>
      <c r="P7" s="5" t="s">
        <v>15</v>
      </c>
      <c r="Q7" s="5" t="s">
        <v>16</v>
      </c>
      <c r="R7" s="5" t="s">
        <v>17</v>
      </c>
      <c r="S7" s="5" t="s">
        <v>18</v>
      </c>
      <c r="T7" s="5" t="s">
        <v>19</v>
      </c>
      <c r="U7" s="5" t="s">
        <v>20</v>
      </c>
      <c r="V7" s="5" t="s">
        <v>22</v>
      </c>
      <c r="W7" s="15" t="s">
        <v>21</v>
      </c>
      <c r="X7" s="51" t="s">
        <v>72</v>
      </c>
      <c r="Y7" s="21" t="s">
        <v>73</v>
      </c>
      <c r="Z7" s="1"/>
      <c r="AA7" s="1"/>
      <c r="AB7" s="1"/>
      <c r="AC7" s="1"/>
      <c r="AD7" s="1"/>
    </row>
    <row r="8" spans="1:25" ht="13.5" customHeight="1" thickBot="1">
      <c r="A8" s="41" t="s">
        <v>28</v>
      </c>
      <c r="B8" s="33" t="s">
        <v>1</v>
      </c>
      <c r="C8" s="57">
        <v>52530.16</v>
      </c>
      <c r="D8" s="60">
        <v>70096.36</v>
      </c>
      <c r="E8" s="57">
        <v>70175.76</v>
      </c>
      <c r="F8" s="57">
        <v>69823.4</v>
      </c>
      <c r="G8" s="72">
        <v>69794.88</v>
      </c>
      <c r="H8" s="57">
        <v>69794.88</v>
      </c>
      <c r="I8" s="57">
        <v>69802.24</v>
      </c>
      <c r="J8" s="57">
        <v>69805.92</v>
      </c>
      <c r="K8" s="57">
        <v>69769.12</v>
      </c>
      <c r="L8" s="7">
        <v>5430.9</v>
      </c>
      <c r="M8" s="7">
        <v>5430.9</v>
      </c>
      <c r="N8" s="7">
        <v>5430.9</v>
      </c>
      <c r="O8" s="7">
        <v>5430.9</v>
      </c>
      <c r="P8" s="7">
        <v>5430.9</v>
      </c>
      <c r="Q8" s="7">
        <v>5430.9</v>
      </c>
      <c r="R8" s="7">
        <v>5430.9</v>
      </c>
      <c r="S8" s="7">
        <v>5430.9</v>
      </c>
      <c r="T8" s="7">
        <v>5430.9</v>
      </c>
      <c r="U8" s="7">
        <v>5430.9</v>
      </c>
      <c r="V8" s="7">
        <v>5430.9</v>
      </c>
      <c r="W8" s="7">
        <v>5430.9</v>
      </c>
      <c r="X8" s="52">
        <f>SUM(L8:W8)</f>
        <v>65170.80000000001</v>
      </c>
      <c r="Y8" s="73">
        <f>SUM(C8:W8)</f>
        <v>676763.5200000003</v>
      </c>
    </row>
    <row r="9" spans="1:25" ht="13.5" customHeight="1" thickBot="1">
      <c r="A9" s="41"/>
      <c r="B9" s="33" t="s">
        <v>68</v>
      </c>
      <c r="C9" s="72"/>
      <c r="D9" s="60"/>
      <c r="E9" s="72"/>
      <c r="F9" s="72"/>
      <c r="G9" s="72"/>
      <c r="H9" s="72"/>
      <c r="I9" s="72"/>
      <c r="J9" s="72">
        <v>8028.11</v>
      </c>
      <c r="K9" s="72">
        <v>6217.81</v>
      </c>
      <c r="L9" s="7">
        <f aca="true" t="shared" si="0" ref="L9:Q9">20.31+23.07+94.4</f>
        <v>137.78</v>
      </c>
      <c r="M9" s="7">
        <f t="shared" si="0"/>
        <v>137.78</v>
      </c>
      <c r="N9" s="7">
        <f t="shared" si="0"/>
        <v>137.78</v>
      </c>
      <c r="O9" s="7">
        <f t="shared" si="0"/>
        <v>137.78</v>
      </c>
      <c r="P9" s="7">
        <f t="shared" si="0"/>
        <v>137.78</v>
      </c>
      <c r="Q9" s="7">
        <f t="shared" si="0"/>
        <v>137.78</v>
      </c>
      <c r="R9" s="8">
        <f aca="true" t="shared" si="1" ref="R9:W9">20.69+23.48+96.12</f>
        <v>140.29000000000002</v>
      </c>
      <c r="S9" s="8">
        <f t="shared" si="1"/>
        <v>140.29000000000002</v>
      </c>
      <c r="T9" s="8">
        <f t="shared" si="1"/>
        <v>140.29000000000002</v>
      </c>
      <c r="U9" s="8">
        <f t="shared" si="1"/>
        <v>140.29000000000002</v>
      </c>
      <c r="V9" s="8">
        <f t="shared" si="1"/>
        <v>140.29000000000002</v>
      </c>
      <c r="W9" s="8">
        <f t="shared" si="1"/>
        <v>140.29000000000002</v>
      </c>
      <c r="X9" s="52">
        <f>SUM(L9:W9)</f>
        <v>1668.4199999999998</v>
      </c>
      <c r="Y9" s="73">
        <f>SUM(C9:W9)</f>
        <v>15914.34000000001</v>
      </c>
    </row>
    <row r="10" spans="1:25" s="84" customFormat="1" ht="16.5" customHeight="1" thickBot="1">
      <c r="A10" s="78" t="s">
        <v>29</v>
      </c>
      <c r="B10" s="79" t="s">
        <v>2</v>
      </c>
      <c r="C10" s="80">
        <f aca="true" t="shared" si="2" ref="C10:L10">SUM(C11:C24)</f>
        <v>70999.04</v>
      </c>
      <c r="D10" s="81">
        <f t="shared" si="2"/>
        <v>74967.06999999999</v>
      </c>
      <c r="E10" s="80">
        <f t="shared" si="2"/>
        <v>88422.32000000002</v>
      </c>
      <c r="F10" s="80">
        <f t="shared" si="2"/>
        <v>61707.259999999995</v>
      </c>
      <c r="G10" s="80">
        <f t="shared" si="2"/>
        <v>65247.89</v>
      </c>
      <c r="H10" s="80">
        <f>SUM(H11:H24)</f>
        <v>71316.26000000001</v>
      </c>
      <c r="I10" s="80">
        <f>SUM(I11:I24)</f>
        <v>63179.36</v>
      </c>
      <c r="J10" s="80">
        <f>SUM(J11:J24)</f>
        <v>68510.27</v>
      </c>
      <c r="K10" s="80">
        <f t="shared" si="2"/>
        <v>82214.90999999999</v>
      </c>
      <c r="L10" s="82">
        <f t="shared" si="2"/>
        <v>4655.889999999999</v>
      </c>
      <c r="M10" s="82">
        <f aca="true" t="shared" si="3" ref="M10:W10">SUM(M11:M24)</f>
        <v>8927.899999999998</v>
      </c>
      <c r="N10" s="82">
        <f t="shared" si="3"/>
        <v>5530.2</v>
      </c>
      <c r="O10" s="82">
        <f t="shared" si="3"/>
        <v>5019.88</v>
      </c>
      <c r="P10" s="82">
        <f t="shared" si="3"/>
        <v>4991.48</v>
      </c>
      <c r="Q10" s="82">
        <f t="shared" si="3"/>
        <v>6368.340000000001</v>
      </c>
      <c r="R10" s="82">
        <f t="shared" si="3"/>
        <v>4652.15</v>
      </c>
      <c r="S10" s="82">
        <f t="shared" si="3"/>
        <v>4397.77</v>
      </c>
      <c r="T10" s="82">
        <f t="shared" si="3"/>
        <v>4739.300000000001</v>
      </c>
      <c r="U10" s="82">
        <f t="shared" si="3"/>
        <v>4003.1</v>
      </c>
      <c r="V10" s="82">
        <f t="shared" si="3"/>
        <v>4908.29</v>
      </c>
      <c r="W10" s="81">
        <f t="shared" si="3"/>
        <v>4727.47</v>
      </c>
      <c r="X10" s="80">
        <f>SUM(L10:W10)</f>
        <v>62921.770000000004</v>
      </c>
      <c r="Y10" s="83">
        <f>SUM(C10:W10)</f>
        <v>709486.15</v>
      </c>
    </row>
    <row r="11" spans="1:25" ht="13.5" thickBot="1">
      <c r="A11" s="41" t="s">
        <v>30</v>
      </c>
      <c r="B11" s="35" t="s">
        <v>4</v>
      </c>
      <c r="C11" s="47">
        <v>9277.69</v>
      </c>
      <c r="D11" s="61">
        <v>13466.39</v>
      </c>
      <c r="E11" s="47">
        <v>14058.96</v>
      </c>
      <c r="F11" s="47">
        <v>15792.08</v>
      </c>
      <c r="G11" s="47">
        <v>15106.21</v>
      </c>
      <c r="H11" s="47">
        <v>14304.28</v>
      </c>
      <c r="I11" s="47">
        <v>14951.17</v>
      </c>
      <c r="J11" s="47">
        <v>15648.32</v>
      </c>
      <c r="K11" s="47">
        <v>14594.83</v>
      </c>
      <c r="L11" s="7"/>
      <c r="M11" s="8"/>
      <c r="N11" s="8"/>
      <c r="O11" s="8">
        <v>27.31</v>
      </c>
      <c r="P11" s="8">
        <v>20.87</v>
      </c>
      <c r="Q11" s="8">
        <v>8.63</v>
      </c>
      <c r="R11" s="8">
        <v>22.75</v>
      </c>
      <c r="S11" s="8">
        <v>16.81</v>
      </c>
      <c r="T11" s="8">
        <v>4.21</v>
      </c>
      <c r="U11" s="8">
        <v>15.08</v>
      </c>
      <c r="V11" s="8">
        <v>12.54</v>
      </c>
      <c r="W11" s="16">
        <v>8.11</v>
      </c>
      <c r="X11" s="50">
        <f aca="true" t="shared" si="4" ref="X11:X26">SUM(L11:W11)</f>
        <v>136.31</v>
      </c>
      <c r="Y11" s="74">
        <f aca="true" t="shared" si="5" ref="Y11:Y24">SUM(C11:W11)</f>
        <v>127336.24</v>
      </c>
    </row>
    <row r="12" spans="1:25" ht="12" customHeight="1" thickBot="1">
      <c r="A12" s="41" t="s">
        <v>31</v>
      </c>
      <c r="B12" s="36" t="s">
        <v>60</v>
      </c>
      <c r="C12" s="48">
        <v>10076.95</v>
      </c>
      <c r="D12" s="62">
        <v>6390.6</v>
      </c>
      <c r="E12" s="48">
        <v>1848.72</v>
      </c>
      <c r="F12" s="48">
        <v>11.25</v>
      </c>
      <c r="G12" s="48">
        <v>933.34</v>
      </c>
      <c r="H12" s="48">
        <v>2277.52</v>
      </c>
      <c r="I12" s="48">
        <v>40.23</v>
      </c>
      <c r="J12" s="48">
        <v>197.84</v>
      </c>
      <c r="K12" s="48">
        <v>0</v>
      </c>
      <c r="L12" s="9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7"/>
      <c r="X12" s="50">
        <f t="shared" si="4"/>
        <v>0</v>
      </c>
      <c r="Y12" s="74">
        <f t="shared" si="5"/>
        <v>21776.450000000004</v>
      </c>
    </row>
    <row r="13" spans="1:25" ht="12.75" customHeight="1" thickBot="1">
      <c r="A13" s="41" t="s">
        <v>32</v>
      </c>
      <c r="B13" s="34" t="s">
        <v>5</v>
      </c>
      <c r="C13" s="48">
        <v>0</v>
      </c>
      <c r="D13" s="62">
        <v>7600.85</v>
      </c>
      <c r="E13" s="48">
        <v>0</v>
      </c>
      <c r="F13" s="48">
        <v>0</v>
      </c>
      <c r="G13" s="48"/>
      <c r="H13" s="48">
        <v>6613.3</v>
      </c>
      <c r="I13" s="48">
        <v>0</v>
      </c>
      <c r="J13" s="48">
        <v>0</v>
      </c>
      <c r="K13" s="48">
        <v>9280.01</v>
      </c>
      <c r="L13" s="9"/>
      <c r="M13" s="10">
        <v>4381.5</v>
      </c>
      <c r="N13" s="10"/>
      <c r="O13" s="10"/>
      <c r="P13" s="10"/>
      <c r="Q13" s="10"/>
      <c r="R13" s="10"/>
      <c r="S13" s="10"/>
      <c r="T13" s="10"/>
      <c r="U13" s="10"/>
      <c r="V13" s="10"/>
      <c r="W13" s="17"/>
      <c r="X13" s="50">
        <f t="shared" si="4"/>
        <v>4381.5</v>
      </c>
      <c r="Y13" s="74">
        <f>SUM(C13:W13)</f>
        <v>27875.660000000003</v>
      </c>
    </row>
    <row r="14" spans="1:25" ht="13.5" customHeight="1" thickBot="1">
      <c r="A14" s="41"/>
      <c r="B14" s="34" t="s">
        <v>66</v>
      </c>
      <c r="C14" s="48"/>
      <c r="D14" s="62"/>
      <c r="E14" s="48"/>
      <c r="F14" s="48"/>
      <c r="G14" s="48"/>
      <c r="H14" s="48"/>
      <c r="I14" s="48">
        <v>2300</v>
      </c>
      <c r="J14" s="48">
        <v>1200</v>
      </c>
      <c r="K14" s="48">
        <v>1200</v>
      </c>
      <c r="L14" s="9"/>
      <c r="M14" s="10"/>
      <c r="N14" s="10"/>
      <c r="O14" s="10"/>
      <c r="P14" s="10"/>
      <c r="Q14" s="10"/>
      <c r="R14" s="10"/>
      <c r="S14" s="10"/>
      <c r="T14" s="10">
        <v>1000</v>
      </c>
      <c r="U14" s="10"/>
      <c r="V14" s="10"/>
      <c r="W14" s="17"/>
      <c r="X14" s="50">
        <f>SUM(L14:W14)</f>
        <v>1000</v>
      </c>
      <c r="Y14" s="74">
        <f>SUM(C14:W14)</f>
        <v>5700</v>
      </c>
    </row>
    <row r="15" spans="1:25" ht="14.25" customHeight="1" thickBot="1">
      <c r="A15" s="41" t="s">
        <v>33</v>
      </c>
      <c r="B15" s="36" t="s">
        <v>58</v>
      </c>
      <c r="C15" s="48">
        <v>29491.37</v>
      </c>
      <c r="D15" s="62">
        <v>8983.42</v>
      </c>
      <c r="E15" s="48">
        <v>28961.17</v>
      </c>
      <c r="F15" s="48">
        <v>227.04</v>
      </c>
      <c r="G15" s="48">
        <v>3443.86</v>
      </c>
      <c r="H15" s="48">
        <v>6421.21</v>
      </c>
      <c r="I15" s="48">
        <v>2281.54</v>
      </c>
      <c r="J15" s="48">
        <v>2173.3</v>
      </c>
      <c r="K15" s="48">
        <v>75</v>
      </c>
      <c r="L15" s="9"/>
      <c r="M15" s="10"/>
      <c r="N15" s="10">
        <v>752.2</v>
      </c>
      <c r="O15" s="10">
        <v>300</v>
      </c>
      <c r="P15" s="10"/>
      <c r="Q15" s="10">
        <v>2914.79</v>
      </c>
      <c r="R15" s="10">
        <v>92.5</v>
      </c>
      <c r="S15" s="10"/>
      <c r="T15" s="10"/>
      <c r="U15" s="10"/>
      <c r="V15" s="10"/>
      <c r="W15" s="17"/>
      <c r="X15" s="50">
        <f t="shared" si="4"/>
        <v>4059.49</v>
      </c>
      <c r="Y15" s="74">
        <f t="shared" si="5"/>
        <v>86117.39999999998</v>
      </c>
    </row>
    <row r="16" spans="1:25" ht="24" customHeight="1" thickBot="1">
      <c r="A16" s="41" t="s">
        <v>34</v>
      </c>
      <c r="B16" s="36" t="s">
        <v>52</v>
      </c>
      <c r="C16" s="48">
        <v>0</v>
      </c>
      <c r="D16" s="62">
        <v>0</v>
      </c>
      <c r="E16" s="48">
        <v>256</v>
      </c>
      <c r="F16" s="48">
        <v>0</v>
      </c>
      <c r="G16" s="48">
        <v>11.63</v>
      </c>
      <c r="H16" s="48">
        <v>0</v>
      </c>
      <c r="I16" s="48">
        <v>51</v>
      </c>
      <c r="J16" s="48">
        <v>316.42</v>
      </c>
      <c r="K16" s="48">
        <v>78</v>
      </c>
      <c r="L16" s="9">
        <v>44.99</v>
      </c>
      <c r="M16" s="10">
        <v>23</v>
      </c>
      <c r="N16" s="10"/>
      <c r="O16" s="10"/>
      <c r="P16" s="10"/>
      <c r="Q16" s="10"/>
      <c r="R16" s="10"/>
      <c r="S16" s="10"/>
      <c r="T16" s="10"/>
      <c r="U16" s="10"/>
      <c r="V16" s="10"/>
      <c r="W16" s="17"/>
      <c r="X16" s="50">
        <f t="shared" si="4"/>
        <v>67.99000000000001</v>
      </c>
      <c r="Y16" s="74">
        <f t="shared" si="5"/>
        <v>781.04</v>
      </c>
    </row>
    <row r="17" spans="1:25" ht="15" customHeight="1" thickBot="1">
      <c r="A17" s="41" t="s">
        <v>35</v>
      </c>
      <c r="B17" s="36" t="s">
        <v>69</v>
      </c>
      <c r="C17" s="48">
        <v>11</v>
      </c>
      <c r="D17" s="62">
        <v>41.14</v>
      </c>
      <c r="E17" s="48">
        <v>0</v>
      </c>
      <c r="F17" s="48">
        <v>0</v>
      </c>
      <c r="G17" s="48"/>
      <c r="H17" s="48">
        <v>0</v>
      </c>
      <c r="I17" s="48">
        <v>0</v>
      </c>
      <c r="J17" s="48">
        <v>6420.06</v>
      </c>
      <c r="K17" s="48">
        <v>4605.31</v>
      </c>
      <c r="L17" s="9"/>
      <c r="M17" s="9"/>
      <c r="N17" s="9"/>
      <c r="O17" s="9"/>
      <c r="P17" s="9"/>
      <c r="Q17" s="10"/>
      <c r="R17" s="10"/>
      <c r="S17" s="10"/>
      <c r="T17" s="10"/>
      <c r="U17" s="10"/>
      <c r="V17" s="10"/>
      <c r="W17" s="17"/>
      <c r="X17" s="50">
        <f t="shared" si="4"/>
        <v>0</v>
      </c>
      <c r="Y17" s="74">
        <f t="shared" si="5"/>
        <v>11077.510000000002</v>
      </c>
    </row>
    <row r="18" spans="1:25" ht="15" customHeight="1" thickBot="1">
      <c r="A18" s="41"/>
      <c r="B18" s="36" t="s">
        <v>70</v>
      </c>
      <c r="C18" s="48"/>
      <c r="D18" s="62"/>
      <c r="E18" s="48"/>
      <c r="F18" s="48"/>
      <c r="G18" s="48"/>
      <c r="H18" s="48"/>
      <c r="I18" s="48"/>
      <c r="J18" s="48">
        <v>1233.56</v>
      </c>
      <c r="K18" s="48">
        <v>1061.75</v>
      </c>
      <c r="L18" s="9">
        <v>95.9</v>
      </c>
      <c r="M18" s="9">
        <v>95.9</v>
      </c>
      <c r="N18" s="9">
        <v>95.9</v>
      </c>
      <c r="O18" s="9">
        <v>95.9</v>
      </c>
      <c r="P18" s="9">
        <v>95.9</v>
      </c>
      <c r="Q18" s="9">
        <v>95.9</v>
      </c>
      <c r="R18" s="10">
        <v>44.6</v>
      </c>
      <c r="S18" s="10">
        <v>97.44</v>
      </c>
      <c r="T18" s="10">
        <v>97.66</v>
      </c>
      <c r="U18" s="10">
        <v>97.66</v>
      </c>
      <c r="V18" s="10">
        <v>97.66</v>
      </c>
      <c r="W18" s="17">
        <v>97.66</v>
      </c>
      <c r="X18" s="50">
        <f>SUM(L18:W18)</f>
        <v>1108.08</v>
      </c>
      <c r="Y18" s="74">
        <f>SUM(C18:W18)</f>
        <v>3403.39</v>
      </c>
    </row>
    <row r="19" spans="1:25" ht="15" customHeight="1" thickBot="1">
      <c r="A19" s="41" t="s">
        <v>36</v>
      </c>
      <c r="B19" s="36" t="s">
        <v>6</v>
      </c>
      <c r="C19" s="48">
        <v>882.99</v>
      </c>
      <c r="D19" s="62">
        <v>677.95</v>
      </c>
      <c r="E19" s="48">
        <v>416.41</v>
      </c>
      <c r="F19" s="48">
        <v>676.03</v>
      </c>
      <c r="G19" s="48">
        <v>551.45</v>
      </c>
      <c r="H19" s="48">
        <v>1006.64</v>
      </c>
      <c r="I19" s="48">
        <v>826.84</v>
      </c>
      <c r="J19" s="48">
        <v>1135.59</v>
      </c>
      <c r="K19" s="48">
        <v>1614.74</v>
      </c>
      <c r="L19" s="9"/>
      <c r="M19" s="10"/>
      <c r="N19" s="10">
        <v>421.66</v>
      </c>
      <c r="O19" s="10"/>
      <c r="P19" s="10">
        <v>421.67</v>
      </c>
      <c r="Q19" s="10"/>
      <c r="R19" s="10"/>
      <c r="S19" s="10"/>
      <c r="T19" s="10">
        <v>421.67</v>
      </c>
      <c r="U19" s="10"/>
      <c r="V19" s="10">
        <v>361.45</v>
      </c>
      <c r="W19" s="17"/>
      <c r="X19" s="50">
        <f t="shared" si="4"/>
        <v>1626.45</v>
      </c>
      <c r="Y19" s="74">
        <f t="shared" si="5"/>
        <v>9415.090000000002</v>
      </c>
    </row>
    <row r="20" spans="1:25" ht="33.75" customHeight="1" thickBot="1">
      <c r="A20" s="41" t="s">
        <v>37</v>
      </c>
      <c r="B20" s="36" t="s">
        <v>61</v>
      </c>
      <c r="C20" s="48">
        <v>864.21</v>
      </c>
      <c r="D20" s="62">
        <v>3082.65</v>
      </c>
      <c r="E20" s="48">
        <v>4033.29</v>
      </c>
      <c r="F20" s="48">
        <v>3846.57</v>
      </c>
      <c r="G20" s="48">
        <v>2576.13</v>
      </c>
      <c r="H20" s="48">
        <v>3038.35</v>
      </c>
      <c r="I20" s="48">
        <v>3213.33</v>
      </c>
      <c r="J20" s="48">
        <v>3336.77</v>
      </c>
      <c r="K20" s="48">
        <v>3429.03</v>
      </c>
      <c r="L20" s="9">
        <v>276</v>
      </c>
      <c r="M20" s="10">
        <v>289.32</v>
      </c>
      <c r="N20" s="10">
        <v>229.72</v>
      </c>
      <c r="O20" s="10">
        <v>275.12</v>
      </c>
      <c r="P20" s="10">
        <v>228.87</v>
      </c>
      <c r="Q20" s="10">
        <v>175.49</v>
      </c>
      <c r="R20" s="10">
        <v>183.41</v>
      </c>
      <c r="S20" s="10">
        <v>155.46</v>
      </c>
      <c r="T20" s="10">
        <v>174.8</v>
      </c>
      <c r="U20" s="10">
        <v>361.97</v>
      </c>
      <c r="V20" s="10">
        <v>228.88</v>
      </c>
      <c r="W20" s="17">
        <v>194.73</v>
      </c>
      <c r="X20" s="50">
        <f t="shared" si="4"/>
        <v>2773.77</v>
      </c>
      <c r="Y20" s="74">
        <f t="shared" si="5"/>
        <v>30194.1</v>
      </c>
    </row>
    <row r="21" spans="1:25" ht="24" customHeight="1" thickBot="1">
      <c r="A21" s="41" t="s">
        <v>38</v>
      </c>
      <c r="B21" s="36" t="s">
        <v>62</v>
      </c>
      <c r="C21" s="48">
        <v>1420.86</v>
      </c>
      <c r="D21" s="62">
        <v>1678.73</v>
      </c>
      <c r="E21" s="48">
        <v>503.9</v>
      </c>
      <c r="F21" s="48">
        <v>356.46</v>
      </c>
      <c r="G21" s="48">
        <v>774.96</v>
      </c>
      <c r="H21" s="48">
        <v>523.62</v>
      </c>
      <c r="I21" s="48">
        <v>457.13</v>
      </c>
      <c r="J21" s="48">
        <v>357.12</v>
      </c>
      <c r="K21" s="48">
        <v>345.88</v>
      </c>
      <c r="L21" s="9">
        <v>21.84</v>
      </c>
      <c r="M21" s="10">
        <v>18.83</v>
      </c>
      <c r="N21" s="10">
        <v>16.41</v>
      </c>
      <c r="O21" s="10">
        <v>19.09</v>
      </c>
      <c r="P21" s="10">
        <v>2.02</v>
      </c>
      <c r="Q21" s="10">
        <v>28.61</v>
      </c>
      <c r="R21" s="10">
        <v>32.09</v>
      </c>
      <c r="S21" s="10">
        <v>37.38</v>
      </c>
      <c r="T21" s="10">
        <v>55.55</v>
      </c>
      <c r="U21" s="10">
        <v>13.74</v>
      </c>
      <c r="V21" s="10">
        <v>50.7</v>
      </c>
      <c r="W21" s="17">
        <v>17.84</v>
      </c>
      <c r="X21" s="50">
        <f t="shared" si="4"/>
        <v>314.09999999999997</v>
      </c>
      <c r="Y21" s="74">
        <f t="shared" si="5"/>
        <v>6732.76</v>
      </c>
    </row>
    <row r="22" spans="1:25" ht="35.25" customHeight="1" thickBot="1">
      <c r="A22" s="41" t="s">
        <v>39</v>
      </c>
      <c r="B22" s="36" t="s">
        <v>63</v>
      </c>
      <c r="C22" s="48">
        <v>3646.1</v>
      </c>
      <c r="D22" s="62">
        <v>2710.26</v>
      </c>
      <c r="E22" s="48">
        <v>2619.69</v>
      </c>
      <c r="F22" s="48">
        <v>3496.61</v>
      </c>
      <c r="G22" s="48">
        <v>3004.96</v>
      </c>
      <c r="H22" s="48">
        <v>3880.58</v>
      </c>
      <c r="I22" s="48">
        <v>3343.71</v>
      </c>
      <c r="J22" s="48">
        <v>3522.13</v>
      </c>
      <c r="K22" s="48">
        <v>3855.79</v>
      </c>
      <c r="L22" s="9">
        <f>13.63+132.07+162.68</f>
        <v>308.38</v>
      </c>
      <c r="M22" s="10">
        <f>12.85+184.01+157.7</f>
        <v>354.55999999999995</v>
      </c>
      <c r="N22" s="10">
        <f>164.47+11.17+122.68</f>
        <v>298.32</v>
      </c>
      <c r="O22" s="10">
        <f>11.95+135.64+435.83</f>
        <v>583.42</v>
      </c>
      <c r="P22" s="10">
        <f>11.66+149.77+118.12</f>
        <v>279.55</v>
      </c>
      <c r="Q22" s="10">
        <f>13.56+104.24+209.15</f>
        <v>326.95</v>
      </c>
      <c r="R22" s="10">
        <f>13.03+176.55+95.25</f>
        <v>284.83000000000004</v>
      </c>
      <c r="S22" s="10">
        <f>11.94+108.53+151.84</f>
        <v>272.31</v>
      </c>
      <c r="T22" s="10">
        <f>8.69+96.52+138.26</f>
        <v>243.46999999999997</v>
      </c>
      <c r="U22" s="10">
        <f>8.81+154.62+392.87</f>
        <v>556.3</v>
      </c>
      <c r="V22" s="10">
        <f>9.74+97.22+101.19</f>
        <v>208.14999999999998</v>
      </c>
      <c r="W22" s="17">
        <f>9.72+294.03+169.84</f>
        <v>473.59000000000003</v>
      </c>
      <c r="X22" s="50">
        <f t="shared" si="4"/>
        <v>4189.829999999999</v>
      </c>
      <c r="Y22" s="74">
        <f t="shared" si="5"/>
        <v>34269.66000000001</v>
      </c>
    </row>
    <row r="23" spans="1:25" ht="15.75" customHeight="1" thickBot="1">
      <c r="A23" s="41" t="s">
        <v>53</v>
      </c>
      <c r="B23" s="36" t="s">
        <v>9</v>
      </c>
      <c r="C23" s="48">
        <v>13467.79</v>
      </c>
      <c r="D23" s="62">
        <v>26062.3</v>
      </c>
      <c r="E23" s="48">
        <v>32906.44</v>
      </c>
      <c r="F23" s="48">
        <v>34549.63</v>
      </c>
      <c r="G23" s="48">
        <v>35351.25</v>
      </c>
      <c r="H23" s="48">
        <v>30648.79</v>
      </c>
      <c r="I23" s="48">
        <v>33024.32</v>
      </c>
      <c r="J23" s="48">
        <v>30077.22</v>
      </c>
      <c r="K23" s="48">
        <v>39178.78</v>
      </c>
      <c r="L23" s="9">
        <f>4655.89-924.47</f>
        <v>3731.42</v>
      </c>
      <c r="M23" s="10">
        <f>8927.9-5436.25</f>
        <v>3491.6499999999996</v>
      </c>
      <c r="N23" s="10">
        <f>5530.2-2016.84</f>
        <v>3513.3599999999997</v>
      </c>
      <c r="O23" s="10">
        <f>5019.88-1490.21</f>
        <v>3529.67</v>
      </c>
      <c r="P23" s="10">
        <f>4991.48-1287.71</f>
        <v>3703.7699999999995</v>
      </c>
      <c r="Q23" s="10">
        <f>6363.34-3745.93+5</f>
        <v>2622.4100000000003</v>
      </c>
      <c r="R23" s="10">
        <f>4652.15-885.17</f>
        <v>3766.9799999999996</v>
      </c>
      <c r="S23" s="10">
        <f>4397.77-775.05</f>
        <v>3622.7200000000003</v>
      </c>
      <c r="T23" s="10">
        <f>4739.3-2222.45</f>
        <v>2516.8500000000004</v>
      </c>
      <c r="U23" s="10">
        <f>4003.1-1258.48</f>
        <v>2744.62</v>
      </c>
      <c r="V23" s="10">
        <f>4908.29-1151.66</f>
        <v>3756.63</v>
      </c>
      <c r="W23" s="17">
        <f>4727.47-1004.07</f>
        <v>3723.4</v>
      </c>
      <c r="X23" s="50">
        <f t="shared" si="4"/>
        <v>40723.48</v>
      </c>
      <c r="Y23" s="74">
        <f t="shared" si="5"/>
        <v>315989.99999999994</v>
      </c>
    </row>
    <row r="24" spans="1:25" ht="13.5" customHeight="1" thickBot="1">
      <c r="A24" s="41" t="s">
        <v>54</v>
      </c>
      <c r="B24" s="37" t="s">
        <v>3</v>
      </c>
      <c r="C24" s="49">
        <v>1860.08</v>
      </c>
      <c r="D24" s="63">
        <v>4272.78</v>
      </c>
      <c r="E24" s="49">
        <v>2817.74</v>
      </c>
      <c r="F24" s="49">
        <v>2751.59</v>
      </c>
      <c r="G24" s="49">
        <v>3494.1</v>
      </c>
      <c r="H24" s="49">
        <v>2601.97</v>
      </c>
      <c r="I24" s="49">
        <v>2690.09</v>
      </c>
      <c r="J24" s="49">
        <v>2891.94</v>
      </c>
      <c r="K24" s="49">
        <v>2895.79</v>
      </c>
      <c r="L24" s="11">
        <f>4.06+173.3</f>
        <v>177.36</v>
      </c>
      <c r="M24" s="12">
        <f>6.64+266.5</f>
        <v>273.14</v>
      </c>
      <c r="N24" s="12">
        <f>4.85+197.78</f>
        <v>202.63</v>
      </c>
      <c r="O24" s="12">
        <f>4.85+184.52</f>
        <v>189.37</v>
      </c>
      <c r="P24" s="12">
        <f>5.91+232.92</f>
        <v>238.82999999999998</v>
      </c>
      <c r="Q24" s="12">
        <f>4.84+190.72</f>
        <v>195.56</v>
      </c>
      <c r="R24" s="12">
        <f>5.57+219.42</f>
        <v>224.98999999999998</v>
      </c>
      <c r="S24" s="12">
        <f>4.93+190.72</f>
        <v>195.65</v>
      </c>
      <c r="T24" s="12">
        <f>5.67+219.42</f>
        <v>225.08999999999997</v>
      </c>
      <c r="U24" s="12">
        <f>5.38+208.35</f>
        <v>213.73</v>
      </c>
      <c r="V24" s="12">
        <f>4.84+187.44</f>
        <v>192.28</v>
      </c>
      <c r="W24" s="19">
        <f>5.34+206.8</f>
        <v>212.14000000000001</v>
      </c>
      <c r="X24" s="50">
        <f t="shared" si="4"/>
        <v>2540.77</v>
      </c>
      <c r="Y24" s="74">
        <f t="shared" si="5"/>
        <v>28816.850000000002</v>
      </c>
    </row>
    <row r="25" spans="1:25" ht="13.5" customHeight="1" thickBot="1">
      <c r="A25" s="41"/>
      <c r="B25" s="44" t="s">
        <v>57</v>
      </c>
      <c r="C25" s="65"/>
      <c r="D25" s="66"/>
      <c r="E25" s="65"/>
      <c r="F25" s="65"/>
      <c r="G25" s="68">
        <f>G8*5%</f>
        <v>3489.7440000000006</v>
      </c>
      <c r="H25" s="68">
        <f>H8*5%</f>
        <v>3489.7440000000006</v>
      </c>
      <c r="I25" s="68">
        <f>I8*5%</f>
        <v>3490.1120000000005</v>
      </c>
      <c r="J25" s="76">
        <f>J8*5%</f>
        <v>3490.2960000000003</v>
      </c>
      <c r="K25" s="76">
        <f>K8*5%</f>
        <v>3488.456</v>
      </c>
      <c r="L25" s="67">
        <f>(L8+L9)*5%</f>
        <v>278.43399999999997</v>
      </c>
      <c r="M25" s="67">
        <f aca="true" t="shared" si="6" ref="M25:W25">(M8+M9)*5%</f>
        <v>278.43399999999997</v>
      </c>
      <c r="N25" s="67">
        <f t="shared" si="6"/>
        <v>278.43399999999997</v>
      </c>
      <c r="O25" s="67">
        <f t="shared" si="6"/>
        <v>278.43399999999997</v>
      </c>
      <c r="P25" s="67">
        <f t="shared" si="6"/>
        <v>278.43399999999997</v>
      </c>
      <c r="Q25" s="67">
        <f t="shared" si="6"/>
        <v>278.43399999999997</v>
      </c>
      <c r="R25" s="67">
        <f t="shared" si="6"/>
        <v>278.5595</v>
      </c>
      <c r="S25" s="67">
        <f t="shared" si="6"/>
        <v>278.5595</v>
      </c>
      <c r="T25" s="67">
        <f t="shared" si="6"/>
        <v>278.5595</v>
      </c>
      <c r="U25" s="67">
        <f t="shared" si="6"/>
        <v>278.5595</v>
      </c>
      <c r="V25" s="67">
        <f t="shared" si="6"/>
        <v>278.5595</v>
      </c>
      <c r="W25" s="67">
        <f t="shared" si="6"/>
        <v>278.5595</v>
      </c>
      <c r="X25" s="68">
        <f t="shared" si="4"/>
        <v>3341.9609999999993</v>
      </c>
      <c r="Y25" s="75"/>
    </row>
    <row r="26" spans="1:25" ht="16.5" customHeight="1" thickBot="1">
      <c r="A26" s="41" t="s">
        <v>40</v>
      </c>
      <c r="B26" s="55" t="s">
        <v>50</v>
      </c>
      <c r="C26" s="56"/>
      <c r="D26" s="64"/>
      <c r="E26" s="56"/>
      <c r="F26" s="56"/>
      <c r="G26" s="56"/>
      <c r="H26" s="56"/>
      <c r="I26" s="56"/>
      <c r="J26" s="77">
        <f aca="true" t="shared" si="7" ref="J26:W26">SUM(J8+J9-J10)-J25</f>
        <v>5833.4639999999945</v>
      </c>
      <c r="K26" s="77">
        <f>SUM(K8+K9-K10)-K25</f>
        <v>-9716.435999999996</v>
      </c>
      <c r="L26" s="69">
        <f t="shared" si="7"/>
        <v>634.356</v>
      </c>
      <c r="M26" s="69">
        <f t="shared" si="7"/>
        <v>-3637.6539999999986</v>
      </c>
      <c r="N26" s="69">
        <f t="shared" si="7"/>
        <v>-239.9540000000004</v>
      </c>
      <c r="O26" s="69">
        <f t="shared" si="7"/>
        <v>270.3659999999993</v>
      </c>
      <c r="P26" s="69">
        <f t="shared" si="7"/>
        <v>298.76599999999985</v>
      </c>
      <c r="Q26" s="69">
        <f t="shared" si="7"/>
        <v>-1078.0940000000016</v>
      </c>
      <c r="R26" s="69">
        <f t="shared" si="7"/>
        <v>640.4804999999999</v>
      </c>
      <c r="S26" s="69">
        <f t="shared" si="7"/>
        <v>894.8604999999991</v>
      </c>
      <c r="T26" s="69">
        <f t="shared" si="7"/>
        <v>553.3304999999984</v>
      </c>
      <c r="U26" s="69">
        <f t="shared" si="7"/>
        <v>1289.5304999999996</v>
      </c>
      <c r="V26" s="69">
        <f t="shared" si="7"/>
        <v>384.3404999999996</v>
      </c>
      <c r="W26" s="69">
        <f t="shared" si="7"/>
        <v>565.1604999999993</v>
      </c>
      <c r="X26" s="68">
        <f t="shared" si="4"/>
        <v>575.4889999999928</v>
      </c>
      <c r="Y26" s="75"/>
    </row>
    <row r="27" spans="1:25" ht="24.75" customHeight="1" thickBot="1">
      <c r="A27" s="78" t="s">
        <v>41</v>
      </c>
      <c r="B27" s="85" t="s">
        <v>23</v>
      </c>
      <c r="C27" s="86">
        <v>-18468.88</v>
      </c>
      <c r="D27" s="87">
        <f>SUM(D8-D10)</f>
        <v>-4870.709999999992</v>
      </c>
      <c r="E27" s="88">
        <f>SUM(E8-E10)</f>
        <v>-18246.560000000027</v>
      </c>
      <c r="F27" s="88">
        <f>SUM(F8-F10)</f>
        <v>8116.139999999999</v>
      </c>
      <c r="G27" s="89">
        <f>SUM(G8-G10)-G25</f>
        <v>1057.2460000000046</v>
      </c>
      <c r="H27" s="89">
        <f>SUM(H8-H10)-H25</f>
        <v>-5011.124000000005</v>
      </c>
      <c r="I27" s="89">
        <f>SUM(I8-I10)-I25</f>
        <v>3132.768000000004</v>
      </c>
      <c r="J27" s="89">
        <f>SUM(J8+J9-J10)-J25</f>
        <v>5833.4639999999945</v>
      </c>
      <c r="K27" s="89">
        <f>SUM(K8+K9-K10)-K25</f>
        <v>-9716.435999999996</v>
      </c>
      <c r="L27" s="90">
        <f>SUM(L8+L9-L10)-L25</f>
        <v>634.356</v>
      </c>
      <c r="M27" s="91">
        <f>SUM(M26+L27)</f>
        <v>-3003.297999999999</v>
      </c>
      <c r="N27" s="91">
        <f aca="true" t="shared" si="8" ref="N27:W27">SUM(N26+M27)</f>
        <v>-3243.2519999999995</v>
      </c>
      <c r="O27" s="91">
        <f t="shared" si="8"/>
        <v>-2972.8860000000004</v>
      </c>
      <c r="P27" s="91">
        <f t="shared" si="8"/>
        <v>-2674.120000000001</v>
      </c>
      <c r="Q27" s="91">
        <f t="shared" si="8"/>
        <v>-3752.2140000000027</v>
      </c>
      <c r="R27" s="91">
        <f t="shared" si="8"/>
        <v>-3111.733500000003</v>
      </c>
      <c r="S27" s="91">
        <f t="shared" si="8"/>
        <v>-2216.873000000004</v>
      </c>
      <c r="T27" s="91">
        <f t="shared" si="8"/>
        <v>-1663.5425000000057</v>
      </c>
      <c r="U27" s="91">
        <f t="shared" si="8"/>
        <v>-374.0120000000061</v>
      </c>
      <c r="V27" s="91">
        <f t="shared" si="8"/>
        <v>10.32849999999354</v>
      </c>
      <c r="W27" s="91">
        <f t="shared" si="8"/>
        <v>575.4889999999928</v>
      </c>
      <c r="X27" s="88"/>
      <c r="Y27" s="92"/>
    </row>
    <row r="28" spans="1:25" ht="21" customHeight="1" thickBot="1">
      <c r="A28" s="41" t="s">
        <v>42</v>
      </c>
      <c r="B28" s="44" t="s">
        <v>24</v>
      </c>
      <c r="C28" s="44">
        <v>-18468.88</v>
      </c>
      <c r="D28" s="18">
        <f>SUM(D8-D10,C28)</f>
        <v>-23339.589999999993</v>
      </c>
      <c r="E28" s="50">
        <f>SUM(E8-E10,D28)</f>
        <v>-41586.15000000002</v>
      </c>
      <c r="F28" s="50">
        <f>SUM(F8-F10,E28)</f>
        <v>-33470.010000000024</v>
      </c>
      <c r="G28" s="71">
        <f aca="true" t="shared" si="9" ref="G28:L28">SUM(G27+F28)</f>
        <v>-32412.764000000017</v>
      </c>
      <c r="H28" s="71">
        <f t="shared" si="9"/>
        <v>-37423.88800000002</v>
      </c>
      <c r="I28" s="71">
        <f t="shared" si="9"/>
        <v>-34291.12000000002</v>
      </c>
      <c r="J28" s="71">
        <f t="shared" si="9"/>
        <v>-28457.656000000025</v>
      </c>
      <c r="K28" s="71">
        <f t="shared" si="9"/>
        <v>-38174.09200000002</v>
      </c>
      <c r="L28" s="71">
        <f t="shared" si="9"/>
        <v>-37539.73600000002</v>
      </c>
      <c r="M28" s="70">
        <f>SUM(M26+L28)</f>
        <v>-41177.390000000014</v>
      </c>
      <c r="N28" s="70">
        <f aca="true" t="shared" si="10" ref="N28:V28">SUM(N26+M28)</f>
        <v>-41417.34400000001</v>
      </c>
      <c r="O28" s="70">
        <f t="shared" si="10"/>
        <v>-41146.97800000001</v>
      </c>
      <c r="P28" s="70">
        <f t="shared" si="10"/>
        <v>-40848.21200000001</v>
      </c>
      <c r="Q28" s="70">
        <f t="shared" si="10"/>
        <v>-41926.30600000001</v>
      </c>
      <c r="R28" s="70">
        <f t="shared" si="10"/>
        <v>-41285.82550000001</v>
      </c>
      <c r="S28" s="70">
        <f t="shared" si="10"/>
        <v>-40390.96500000001</v>
      </c>
      <c r="T28" s="70">
        <f t="shared" si="10"/>
        <v>-39837.634500000015</v>
      </c>
      <c r="U28" s="70">
        <f t="shared" si="10"/>
        <v>-38548.104000000014</v>
      </c>
      <c r="V28" s="70">
        <f t="shared" si="10"/>
        <v>-38163.763500000015</v>
      </c>
      <c r="W28" s="70">
        <f>SUM(W26+V28)</f>
        <v>-37598.60300000002</v>
      </c>
      <c r="X28" s="50"/>
      <c r="Y28" s="30"/>
    </row>
    <row r="29" spans="1:25" ht="10.5" customHeight="1" hidden="1" thickBot="1">
      <c r="A29" s="41" t="s">
        <v>42</v>
      </c>
      <c r="B29" s="44" t="s">
        <v>8</v>
      </c>
      <c r="C29" s="45"/>
      <c r="D29" s="45"/>
      <c r="E29" s="58"/>
      <c r="F29" s="58"/>
      <c r="G29" s="58"/>
      <c r="H29" s="58"/>
      <c r="I29" s="58"/>
      <c r="J29" s="58"/>
      <c r="K29" s="58"/>
      <c r="L29" s="13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20"/>
      <c r="X29" s="50"/>
      <c r="Y29" s="23"/>
    </row>
    <row r="30" spans="1:25" ht="15" customHeight="1" hidden="1" thickBot="1">
      <c r="A30" s="41" t="s">
        <v>43</v>
      </c>
      <c r="B30" s="38" t="s">
        <v>25</v>
      </c>
      <c r="C30" s="45"/>
      <c r="D30" s="45"/>
      <c r="E30" s="58"/>
      <c r="F30" s="58"/>
      <c r="G30" s="58"/>
      <c r="H30" s="58"/>
      <c r="I30" s="58"/>
      <c r="J30" s="58"/>
      <c r="K30" s="58"/>
      <c r="L30" s="13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20"/>
      <c r="X30" s="53"/>
      <c r="Y30" s="22"/>
    </row>
    <row r="31" spans="1:25" ht="24" customHeight="1" hidden="1" thickBot="1">
      <c r="A31" s="42" t="s">
        <v>44</v>
      </c>
      <c r="B31" s="39" t="s">
        <v>47</v>
      </c>
      <c r="C31" s="46"/>
      <c r="D31" s="46"/>
      <c r="E31" s="59"/>
      <c r="F31" s="59"/>
      <c r="G31" s="59"/>
      <c r="H31" s="59"/>
      <c r="I31" s="59"/>
      <c r="J31" s="59"/>
      <c r="K31" s="59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8">
        <f>SUM(W27-W29)</f>
        <v>575.4889999999928</v>
      </c>
      <c r="X31" s="54"/>
      <c r="Y31" s="29"/>
    </row>
    <row r="32" spans="1:25" ht="24" customHeight="1" hidden="1" thickBot="1">
      <c r="A32" s="42" t="s">
        <v>46</v>
      </c>
      <c r="B32" s="39" t="s">
        <v>26</v>
      </c>
      <c r="C32" s="46"/>
      <c r="D32" s="46"/>
      <c r="E32" s="59"/>
      <c r="F32" s="59"/>
      <c r="G32" s="59"/>
      <c r="H32" s="59"/>
      <c r="I32" s="59"/>
      <c r="J32" s="59"/>
      <c r="K32" s="59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8">
        <f>SUM(W28-W29)</f>
        <v>-37598.60300000002</v>
      </c>
      <c r="X32" s="54"/>
      <c r="Y32" s="29"/>
    </row>
    <row r="33" spans="3:25" ht="24" customHeight="1" hidden="1">
      <c r="C33" s="24"/>
      <c r="D33" s="24"/>
      <c r="E33" s="24"/>
      <c r="F33" s="24"/>
      <c r="G33" s="24"/>
      <c r="H33" s="24"/>
      <c r="I33" s="24"/>
      <c r="J33" s="24"/>
      <c r="K33" s="24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6"/>
    </row>
    <row r="34" ht="12.75">
      <c r="B34" t="s">
        <v>64</v>
      </c>
    </row>
    <row r="35" ht="12.75" hidden="1"/>
    <row r="36" ht="12.75" hidden="1"/>
    <row r="37" ht="12.75" hidden="1"/>
    <row r="42" ht="12.75" customHeight="1"/>
    <row r="43" ht="12.75" customHeight="1"/>
  </sheetData>
  <sheetProtection/>
  <mergeCells count="5">
    <mergeCell ref="B4:Y4"/>
    <mergeCell ref="B5:Y5"/>
    <mergeCell ref="B3:Y3"/>
    <mergeCell ref="B1:N1"/>
    <mergeCell ref="B2:X2"/>
  </mergeCells>
  <printOptions/>
  <pageMargins left="0.24" right="0.24" top="1" bottom="0.24" header="0.5" footer="0.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Customer</cp:lastModifiedBy>
  <cp:lastPrinted>2020-02-20T12:49:10Z</cp:lastPrinted>
  <dcterms:created xsi:type="dcterms:W3CDTF">2011-06-16T11:06:26Z</dcterms:created>
  <dcterms:modified xsi:type="dcterms:W3CDTF">2020-02-20T12:49:12Z</dcterms:modified>
  <cp:category/>
  <cp:version/>
  <cp:contentType/>
  <cp:contentStatus/>
</cp:coreProperties>
</file>