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<sst xmlns="http://schemas.openxmlformats.org/spreadsheetml/2006/main" count="81" uniqueCount="81">
  <si>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</si>
  <si>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</si>
  <si>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</si>
  <si>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</si>
  <si>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</si>
  <si>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</si>
  <si>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</si>
  <si>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</si>
  <si>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</si>
  <si>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</si>
  <si>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</si>
  <si>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</si>
  <si>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</si>
  <si>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</si>
  <si>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</si>
  <si>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</si>
  <si>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</si>
  <si>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</si>
  <si>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</si>
  <si>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</si>
  <si>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</si>
  <si>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</si>
  <si>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</si>
  <si>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</si>
  <si>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</si>
  <si>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</si>
  <si>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</si>
  <si>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</si>
  <si>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</si>
  <si>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</si>
  <si>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</si>
  <si>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</si>
  <si>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</si>
  <si>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4.6</t>
  </si>
  <si>
    <t>4.7</t>
  </si>
  <si>
    <t>4.9</t>
  </si>
  <si>
    <t>4.10</t>
  </si>
  <si>
    <t>4.11</t>
  </si>
  <si>
    <t>5</t>
  </si>
  <si>
    <t>6</t>
  </si>
  <si>
    <t>7</t>
  </si>
  <si>
    <t>за 2010 г</t>
  </si>
  <si>
    <t>10</t>
  </si>
  <si>
    <t>Финансовый результат по дому с начала года</t>
  </si>
  <si>
    <t>по жилому дому г. Унеча ул. Первомайская д.2</t>
  </si>
  <si>
    <t>Благоустройство  территории</t>
  </si>
  <si>
    <t>Итого за 2011 г</t>
  </si>
  <si>
    <t>Проверка дымовых каналов</t>
  </si>
  <si>
    <t>11</t>
  </si>
  <si>
    <t>12</t>
  </si>
  <si>
    <t>13</t>
  </si>
  <si>
    <t>Результат за месяц</t>
  </si>
  <si>
    <t>Исполнитель /Викторова Л.С./</t>
  </si>
  <si>
    <t>Итого за 2012 г</t>
  </si>
  <si>
    <t>4.12</t>
  </si>
  <si>
    <t xml:space="preserve">Материалы </t>
  </si>
  <si>
    <t>4.13</t>
  </si>
  <si>
    <t>4.14</t>
  </si>
  <si>
    <t>4.15</t>
  </si>
  <si>
    <t>4.16</t>
  </si>
  <si>
    <t>Итого за 2013 г</t>
  </si>
  <si>
    <t>Итого за 2014 г</t>
  </si>
  <si>
    <t>рентабельность 5%</t>
  </si>
  <si>
    <t>Услуги сторонних организаций</t>
  </si>
  <si>
    <t>Итого за 2015 г</t>
  </si>
  <si>
    <t>Расходыуправление,аренда,охрана труда,связь и т.д.</t>
  </si>
  <si>
    <t xml:space="preserve">УслугиМФЦ,агентские,охрана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</si>
  <si>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</si>
  <si>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</si>
  <si>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</si>
  <si>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</si>
  <si>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</si>
  <si>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</si>
  <si>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</si>
  <si>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Транспортные(ГСМ,зап.части,амортизация,страхов)</t>
  </si>
  <si>
    <t>Итого за 2018 г</t>
  </si>
  <si>
    <t>Итого за 2019 г</t>
  </si>
  <si>
    <t>Всего за 2010-2019</t>
  </si>
  <si>
    <t>Вывоз ТБО (Утилизация)</t>
  </si>
  <si>
    <t>Дом по ул.Первомайская  д.2 вступил в ООО "Наш дом" с февраля 2010 года     тариф 10,35 руб с января 2019 года тариф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</si>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</sst>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35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7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7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28" fillId="0" borderId="50" xfId="0" applyFont="1" applyBorder="1" applyAlignment="1">
      <alignment/>
    </xf>
    <xf numFmtId="0" fontId="28" fillId="0" borderId="48" xfId="0" applyFont="1" applyBorder="1" applyAlignment="1">
      <alignment/>
    </xf>
    <xf numFmtId="2" fontId="28" fillId="0" borderId="50" xfId="0" applyNumberFormat="1" applyFont="1" applyBorder="1" applyAlignment="1">
      <alignment/>
    </xf>
    <xf numFmtId="2" fontId="28" fillId="0" borderId="48" xfId="0" applyNumberFormat="1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46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4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7">
      <selection activeCell="L41" sqref="L41"/>
    </sheetView>
  </sheetViews>
  <sheetFormatPr defaultColWidth="9.00390625" defaultRowHeight="12.75"/>
  <cols>
    <col min="1" max="1" width="0.12890625" style="26" customWidth="1"/>
    <col min="2" max="2" width="21.125" style="0" customWidth="1"/>
    <col min="3" max="3" width="7.375" style="0" hidden="1" customWidth="1"/>
    <col min="4" max="4" width="12.625" style="0" hidden="1" customWidth="1"/>
    <col min="5" max="5" width="12.875" style="0" hidden="1" customWidth="1"/>
    <col min="6" max="6" width="9.875" style="0" hidden="1" customWidth="1"/>
    <col min="7" max="7" width="9.375" style="0" hidden="1" customWidth="1"/>
    <col min="8" max="8" width="8.875" style="0" hidden="1" customWidth="1"/>
    <col min="9" max="9" width="10.00390625" style="0" hidden="1" customWidth="1"/>
    <col min="10" max="10" width="9.25390625" style="0" hidden="1" customWidth="1"/>
    <col min="11" max="11" width="9.625" style="0" hidden="1" customWidth="1"/>
    <col min="12" max="12" width="8.75390625" style="0" customWidth="1"/>
    <col min="13" max="13" width="8.25390625" style="0" customWidth="1"/>
    <col min="14" max="14" width="8.75390625" style="0" customWidth="1"/>
    <col min="15" max="15" width="8.125" style="0" customWidth="1"/>
    <col min="16" max="16" width="8.25390625" style="0" customWidth="1"/>
    <col min="17" max="17" width="8.625" style="0" customWidth="1"/>
    <col min="18" max="18" width="9.125" style="0" customWidth="1"/>
    <col min="19" max="19" width="8.375" style="0" customWidth="1"/>
    <col min="20" max="21" width="8.75390625" style="0" customWidth="1"/>
    <col min="22" max="22" width="9.00390625" style="0" customWidth="1"/>
    <col min="23" max="23" width="9.25390625" style="0" customWidth="1"/>
    <col min="24" max="24" width="9.00390625" style="0" customWidth="1"/>
    <col min="25" max="25" width="10.75390625" style="0" customWidth="1"/>
  </cols>
  <sheetData>
    <row r="1" spans="2:30" ht="12.75" customHeight="1">
      <c r="B1" s="104" t="s">
        <v>80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4" t="s">
        <v>79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  <c r="W2" s="105"/>
      <c r="X2" s="105"/>
      <c r="Y2" s="4"/>
      <c r="Z2" s="4"/>
      <c r="AA2" s="4"/>
      <c r="AB2" s="4"/>
      <c r="AC2" s="4"/>
      <c r="AD2" s="4"/>
    </row>
    <row r="3" spans="2:30" ht="12.75" customHeight="1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3"/>
      <c r="AA3" s="3"/>
      <c r="AB3" s="3"/>
      <c r="AC3" s="3"/>
      <c r="AD3" s="3"/>
    </row>
    <row r="4" spans="2:30" ht="13.5" customHeight="1">
      <c r="B4" s="102" t="s">
        <v>9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2"/>
      <c r="AA4" s="2"/>
      <c r="AB4" s="2"/>
      <c r="AC4" s="2"/>
      <c r="AD4" s="2"/>
    </row>
    <row r="5" spans="2:30" ht="15.75" customHeight="1" thickBot="1">
      <c r="B5" s="102" t="s">
        <v>44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8.5" customHeight="1" thickBot="1">
      <c r="A7" s="35" t="s">
        <v>26</v>
      </c>
      <c r="B7" s="27" t="s">
        <v>6</v>
      </c>
      <c r="C7" s="38" t="s">
        <v>41</v>
      </c>
      <c r="D7" s="61" t="s">
        <v>46</v>
      </c>
      <c r="E7" s="50" t="s">
        <v>53</v>
      </c>
      <c r="F7" s="50" t="s">
        <v>60</v>
      </c>
      <c r="G7" s="61" t="s">
        <v>61</v>
      </c>
      <c r="H7" s="50" t="s">
        <v>64</v>
      </c>
      <c r="I7" s="50" t="s">
        <v>67</v>
      </c>
      <c r="J7" s="50" t="s">
        <v>68</v>
      </c>
      <c r="K7" s="50" t="s">
        <v>75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5" t="s">
        <v>20</v>
      </c>
      <c r="X7" s="50" t="s">
        <v>76</v>
      </c>
      <c r="Y7" s="45" t="s">
        <v>77</v>
      </c>
      <c r="Z7" s="1"/>
      <c r="AA7" s="1"/>
      <c r="AB7" s="1"/>
      <c r="AC7" s="1"/>
      <c r="AD7" s="1"/>
    </row>
    <row r="8" spans="1:25" ht="13.5" thickBot="1">
      <c r="A8" s="36" t="s">
        <v>27</v>
      </c>
      <c r="B8" s="28" t="s">
        <v>1</v>
      </c>
      <c r="C8" s="57">
        <v>388865.6</v>
      </c>
      <c r="D8" s="62">
        <v>476169.24</v>
      </c>
      <c r="E8" s="58">
        <v>484390.66</v>
      </c>
      <c r="F8" s="57">
        <v>484551.34</v>
      </c>
      <c r="G8" s="62">
        <v>484721.97</v>
      </c>
      <c r="H8" s="57">
        <v>485084.2</v>
      </c>
      <c r="I8" s="57">
        <v>485218.68</v>
      </c>
      <c r="J8" s="57">
        <v>477985.48</v>
      </c>
      <c r="K8" s="57">
        <v>478066.21</v>
      </c>
      <c r="L8" s="7">
        <v>36973.44</v>
      </c>
      <c r="M8" s="7">
        <v>36971.52</v>
      </c>
      <c r="N8" s="7">
        <v>36971.52</v>
      </c>
      <c r="O8" s="7">
        <v>36971.52</v>
      </c>
      <c r="P8" s="7">
        <v>36971.52</v>
      </c>
      <c r="Q8" s="7">
        <v>36971.52</v>
      </c>
      <c r="R8" s="7">
        <v>36971.52</v>
      </c>
      <c r="S8" s="7">
        <v>37027.2</v>
      </c>
      <c r="T8" s="7">
        <v>37020.48</v>
      </c>
      <c r="U8" s="7">
        <v>37020.48</v>
      </c>
      <c r="V8" s="7">
        <v>37020.48</v>
      </c>
      <c r="W8" s="7">
        <v>37020.48</v>
      </c>
      <c r="X8" s="76">
        <f>SUM(L8:W8)</f>
        <v>443911.6799999999</v>
      </c>
      <c r="Y8" s="73">
        <f>SUM(C8:W8)</f>
        <v>4688965.0600000005</v>
      </c>
    </row>
    <row r="9" spans="1:25" ht="13.5" thickBot="1">
      <c r="A9" s="36"/>
      <c r="B9" s="28" t="s">
        <v>69</v>
      </c>
      <c r="C9" s="58"/>
      <c r="D9" s="62"/>
      <c r="E9" s="58"/>
      <c r="F9" s="58"/>
      <c r="G9" s="62"/>
      <c r="H9" s="58"/>
      <c r="I9" s="58"/>
      <c r="J9" s="58">
        <v>33880.46</v>
      </c>
      <c r="K9" s="58">
        <v>20760.53</v>
      </c>
      <c r="L9" s="7">
        <f aca="true" t="shared" si="0" ref="L9:Q9">250.83+222.13</f>
        <v>472.96000000000004</v>
      </c>
      <c r="M9" s="7">
        <f t="shared" si="0"/>
        <v>472.96000000000004</v>
      </c>
      <c r="N9" s="7">
        <f t="shared" si="0"/>
        <v>472.96000000000004</v>
      </c>
      <c r="O9" s="7">
        <f t="shared" si="0"/>
        <v>472.96000000000004</v>
      </c>
      <c r="P9" s="7">
        <f t="shared" si="0"/>
        <v>472.96000000000004</v>
      </c>
      <c r="Q9" s="7">
        <f t="shared" si="0"/>
        <v>472.96000000000004</v>
      </c>
      <c r="R9" s="8">
        <f>255.5+247.09</f>
        <v>502.59000000000003</v>
      </c>
      <c r="S9" s="8">
        <f>255.5+247.23</f>
        <v>502.73</v>
      </c>
      <c r="T9" s="8">
        <f>255.5+247.23</f>
        <v>502.73</v>
      </c>
      <c r="U9" s="8">
        <f>255.52+247.24</f>
        <v>502.76</v>
      </c>
      <c r="V9" s="8">
        <f>255.52+247.24</f>
        <v>502.76</v>
      </c>
      <c r="W9" s="8">
        <f>255.52+247.24</f>
        <v>502.76</v>
      </c>
      <c r="X9" s="76">
        <f>SUM(L9:W9)</f>
        <v>5854.090000000001</v>
      </c>
      <c r="Y9" s="73">
        <f>SUM(C9:W9)</f>
        <v>60495.08</v>
      </c>
    </row>
    <row r="10" spans="1:25" ht="13.5" thickBot="1">
      <c r="A10" s="36"/>
      <c r="B10" s="28" t="s">
        <v>70</v>
      </c>
      <c r="C10" s="58"/>
      <c r="D10" s="62"/>
      <c r="E10" s="58"/>
      <c r="F10" s="58"/>
      <c r="G10" s="62"/>
      <c r="H10" s="58"/>
      <c r="I10" s="58"/>
      <c r="J10" s="58">
        <v>7758.75</v>
      </c>
      <c r="K10" s="58">
        <v>7767.54</v>
      </c>
      <c r="L10" s="7">
        <v>605.54</v>
      </c>
      <c r="M10" s="7">
        <v>605.54</v>
      </c>
      <c r="N10" s="7">
        <v>605.54</v>
      </c>
      <c r="O10" s="7">
        <v>605.54</v>
      </c>
      <c r="P10" s="7">
        <v>605.54</v>
      </c>
      <c r="Q10" s="7">
        <v>605.54</v>
      </c>
      <c r="R10" s="8">
        <v>607.48</v>
      </c>
      <c r="S10" s="8">
        <v>607.48</v>
      </c>
      <c r="T10" s="8">
        <v>607.48</v>
      </c>
      <c r="U10" s="8">
        <v>607.48</v>
      </c>
      <c r="V10" s="8">
        <v>607.48</v>
      </c>
      <c r="W10" s="8">
        <v>607.48</v>
      </c>
      <c r="X10" s="76">
        <f>SUM(L10:W10)</f>
        <v>7278.119999999997</v>
      </c>
      <c r="Y10" s="73">
        <f>SUM(C10:W10)</f>
        <v>22804.410000000003</v>
      </c>
    </row>
    <row r="11" spans="1:25" s="90" customFormat="1" ht="13.5" thickBot="1">
      <c r="A11" s="83" t="s">
        <v>28</v>
      </c>
      <c r="B11" s="84" t="s">
        <v>2</v>
      </c>
      <c r="C11" s="85">
        <f aca="true" t="shared" si="1" ref="C11:L11">SUM(C12:C27)</f>
        <v>334547.92000000004</v>
      </c>
      <c r="D11" s="86">
        <f t="shared" si="1"/>
        <v>464168.45000000007</v>
      </c>
      <c r="E11" s="85">
        <f t="shared" si="1"/>
        <v>409545.01000000007</v>
      </c>
      <c r="F11" s="85">
        <f t="shared" si="1"/>
        <v>394749.3</v>
      </c>
      <c r="G11" s="87">
        <f t="shared" si="1"/>
        <v>440961.77999999997</v>
      </c>
      <c r="H11" s="85">
        <f>SUM(H12:H27)</f>
        <v>426424.97</v>
      </c>
      <c r="I11" s="85">
        <f>SUM(I12:I27)</f>
        <v>416337.71</v>
      </c>
      <c r="J11" s="85">
        <f>SUM(J12:J27)</f>
        <v>447385.48</v>
      </c>
      <c r="K11" s="85">
        <f t="shared" si="1"/>
        <v>478585.88999999996</v>
      </c>
      <c r="L11" s="88">
        <f t="shared" si="1"/>
        <v>29781.71</v>
      </c>
      <c r="M11" s="88">
        <f aca="true" t="shared" si="2" ref="M11:W11">SUM(M12:M27)</f>
        <v>31878.620000000003</v>
      </c>
      <c r="N11" s="88">
        <f t="shared" si="2"/>
        <v>27118.550000000003</v>
      </c>
      <c r="O11" s="88">
        <f t="shared" si="2"/>
        <v>29350.599999999995</v>
      </c>
      <c r="P11" s="88">
        <f t="shared" si="2"/>
        <v>28621.76</v>
      </c>
      <c r="Q11" s="88">
        <f t="shared" si="2"/>
        <v>30107.72</v>
      </c>
      <c r="R11" s="88">
        <f>SUM(R12:R27)</f>
        <v>28816.18</v>
      </c>
      <c r="S11" s="88">
        <f t="shared" si="2"/>
        <v>27373.51</v>
      </c>
      <c r="T11" s="88">
        <f t="shared" si="2"/>
        <v>42445.310000000005</v>
      </c>
      <c r="U11" s="88">
        <f t="shared" si="2"/>
        <v>30536</v>
      </c>
      <c r="V11" s="88">
        <f t="shared" si="2"/>
        <v>28138.32</v>
      </c>
      <c r="W11" s="86">
        <f t="shared" si="2"/>
        <v>57327.72</v>
      </c>
      <c r="X11" s="85">
        <f>SUM(L11:W11)</f>
        <v>391496</v>
      </c>
      <c r="Y11" s="89">
        <f>SUM(C11:W11)</f>
        <v>4204202.51</v>
      </c>
    </row>
    <row r="12" spans="1:25" ht="13.5" thickBot="1">
      <c r="A12" s="36" t="s">
        <v>29</v>
      </c>
      <c r="B12" s="30" t="s">
        <v>78</v>
      </c>
      <c r="C12" s="42">
        <v>66774.77</v>
      </c>
      <c r="D12" s="63">
        <v>81043.43</v>
      </c>
      <c r="E12" s="42">
        <v>82295.54</v>
      </c>
      <c r="F12" s="42">
        <v>90811.98</v>
      </c>
      <c r="G12" s="63">
        <v>94239.38</v>
      </c>
      <c r="H12" s="42">
        <v>90001.15</v>
      </c>
      <c r="I12" s="42">
        <v>91762.13</v>
      </c>
      <c r="J12" s="42">
        <v>97235.84</v>
      </c>
      <c r="K12" s="42">
        <v>95524.9</v>
      </c>
      <c r="L12" s="7"/>
      <c r="M12" s="8"/>
      <c r="N12" s="8"/>
      <c r="O12" s="8">
        <v>196.15</v>
      </c>
      <c r="P12" s="8">
        <v>148.92</v>
      </c>
      <c r="Q12" s="8">
        <v>61.23</v>
      </c>
      <c r="R12" s="8">
        <v>160.3</v>
      </c>
      <c r="S12" s="8">
        <v>115.36</v>
      </c>
      <c r="T12" s="8">
        <v>28.91</v>
      </c>
      <c r="U12" s="8">
        <v>105.41</v>
      </c>
      <c r="V12" s="8">
        <v>87.19</v>
      </c>
      <c r="W12" s="16">
        <v>59.06</v>
      </c>
      <c r="X12" s="51">
        <f aca="true" t="shared" si="3" ref="X12:X29">SUM(L12:W12)</f>
        <v>962.53</v>
      </c>
      <c r="Y12" s="74">
        <f aca="true" t="shared" si="4" ref="Y12:Y27">SUM(C12:W12)</f>
        <v>790651.6500000001</v>
      </c>
    </row>
    <row r="13" spans="1:25" ht="24" customHeight="1" thickBot="1">
      <c r="A13" s="36" t="s">
        <v>30</v>
      </c>
      <c r="B13" s="31" t="s">
        <v>63</v>
      </c>
      <c r="C13" s="43">
        <v>92498.64</v>
      </c>
      <c r="D13" s="64">
        <v>38707.23</v>
      </c>
      <c r="E13" s="43">
        <v>12573.99</v>
      </c>
      <c r="F13" s="43">
        <v>12612.94</v>
      </c>
      <c r="G13" s="64">
        <v>20497.17</v>
      </c>
      <c r="H13" s="43">
        <v>10283.07</v>
      </c>
      <c r="I13" s="43">
        <v>4973.91</v>
      </c>
      <c r="J13" s="43">
        <v>7733.65</v>
      </c>
      <c r="K13" s="43">
        <v>17298.44</v>
      </c>
      <c r="L13" s="9">
        <v>1000</v>
      </c>
      <c r="M13" s="10">
        <v>4200</v>
      </c>
      <c r="N13" s="10"/>
      <c r="O13" s="10"/>
      <c r="P13" s="10"/>
      <c r="Q13" s="10">
        <v>1800</v>
      </c>
      <c r="R13" s="10"/>
      <c r="S13" s="10"/>
      <c r="T13" s="10"/>
      <c r="U13" s="10"/>
      <c r="V13" s="10"/>
      <c r="W13" s="17">
        <v>28480</v>
      </c>
      <c r="X13" s="51">
        <f t="shared" si="3"/>
        <v>35480</v>
      </c>
      <c r="Y13" s="74">
        <f t="shared" si="4"/>
        <v>252659.03999999998</v>
      </c>
    </row>
    <row r="14" spans="1:25" ht="15" customHeight="1" thickBot="1">
      <c r="A14" s="36" t="s">
        <v>31</v>
      </c>
      <c r="B14" s="29" t="s">
        <v>4</v>
      </c>
      <c r="C14" s="43">
        <v>0</v>
      </c>
      <c r="D14" s="64">
        <v>12157.96</v>
      </c>
      <c r="E14" s="43">
        <v>0</v>
      </c>
      <c r="F14" s="43">
        <v>0</v>
      </c>
      <c r="G14" s="64">
        <v>10793.1</v>
      </c>
      <c r="H14" s="43">
        <v>0</v>
      </c>
      <c r="I14" s="43">
        <v>0</v>
      </c>
      <c r="J14" s="43">
        <v>11897.3</v>
      </c>
      <c r="K14" s="43">
        <v>9803.44</v>
      </c>
      <c r="L14" s="9"/>
      <c r="M14" s="10"/>
      <c r="N14" s="10"/>
      <c r="O14" s="10"/>
      <c r="P14" s="10"/>
      <c r="Q14" s="10"/>
      <c r="R14" s="10"/>
      <c r="S14" s="10"/>
      <c r="T14" s="10">
        <v>10892.2</v>
      </c>
      <c r="U14" s="10"/>
      <c r="V14" s="10"/>
      <c r="W14" s="17"/>
      <c r="X14" s="51">
        <f t="shared" si="3"/>
        <v>10892.2</v>
      </c>
      <c r="Y14" s="74">
        <f t="shared" si="4"/>
        <v>55544</v>
      </c>
    </row>
    <row r="15" spans="1:25" ht="23.25" customHeight="1" thickBot="1">
      <c r="A15" s="36" t="s">
        <v>32</v>
      </c>
      <c r="B15" s="29" t="s">
        <v>47</v>
      </c>
      <c r="C15" s="43">
        <v>0</v>
      </c>
      <c r="D15" s="64">
        <v>4817.35</v>
      </c>
      <c r="E15" s="43">
        <v>0</v>
      </c>
      <c r="F15" s="43">
        <v>0</v>
      </c>
      <c r="G15" s="64"/>
      <c r="H15" s="43">
        <v>3600</v>
      </c>
      <c r="I15" s="43">
        <v>7800</v>
      </c>
      <c r="J15" s="43">
        <v>0</v>
      </c>
      <c r="K15" s="43">
        <v>5100</v>
      </c>
      <c r="L15" s="9"/>
      <c r="M15" s="10"/>
      <c r="N15" s="10"/>
      <c r="O15" s="10"/>
      <c r="P15" s="10"/>
      <c r="Q15" s="10"/>
      <c r="R15" s="10"/>
      <c r="S15" s="10"/>
      <c r="T15" s="10">
        <v>2800</v>
      </c>
      <c r="U15" s="10"/>
      <c r="V15" s="10"/>
      <c r="W15" s="17"/>
      <c r="X15" s="51">
        <f t="shared" si="3"/>
        <v>2800</v>
      </c>
      <c r="Y15" s="74">
        <f t="shared" si="4"/>
        <v>24117.35</v>
      </c>
    </row>
    <row r="16" spans="1:25" ht="14.25" customHeight="1" hidden="1" thickBot="1">
      <c r="A16" s="36" t="s">
        <v>33</v>
      </c>
      <c r="B16" s="29"/>
      <c r="C16" s="43"/>
      <c r="D16" s="64"/>
      <c r="E16" s="43"/>
      <c r="F16" s="43"/>
      <c r="G16" s="64"/>
      <c r="H16" s="43"/>
      <c r="I16" s="43"/>
      <c r="J16" s="43"/>
      <c r="K16" s="43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51">
        <f>SUM(L16:W16)</f>
        <v>0</v>
      </c>
      <c r="Y16" s="74">
        <f>SUM(C16:W16)</f>
        <v>0</v>
      </c>
    </row>
    <row r="17" spans="1:25" ht="15.75" customHeight="1" thickBot="1">
      <c r="A17" s="36" t="s">
        <v>34</v>
      </c>
      <c r="B17" s="31" t="s">
        <v>55</v>
      </c>
      <c r="C17" s="43">
        <v>47794.92</v>
      </c>
      <c r="D17" s="64">
        <v>76556.04</v>
      </c>
      <c r="E17" s="43">
        <v>48781.57</v>
      </c>
      <c r="F17" s="43">
        <v>16345.75</v>
      </c>
      <c r="G17" s="64">
        <v>38627.81</v>
      </c>
      <c r="H17" s="43">
        <v>6660.5</v>
      </c>
      <c r="I17" s="43">
        <v>17863.55</v>
      </c>
      <c r="J17" s="43">
        <v>4502.09</v>
      </c>
      <c r="K17" s="43">
        <v>14344.35</v>
      </c>
      <c r="L17" s="9">
        <v>60</v>
      </c>
      <c r="M17" s="10">
        <v>373.6</v>
      </c>
      <c r="N17" s="10">
        <v>90</v>
      </c>
      <c r="O17" s="10">
        <v>481.71</v>
      </c>
      <c r="P17" s="10">
        <f>237.88+250</f>
        <v>487.88</v>
      </c>
      <c r="Q17" s="10">
        <f>772.9+330</f>
        <v>1102.9</v>
      </c>
      <c r="R17" s="10">
        <v>511.88</v>
      </c>
      <c r="S17" s="10">
        <f>45+385</f>
        <v>430</v>
      </c>
      <c r="T17" s="10">
        <f>226.5+250</f>
        <v>476.5</v>
      </c>
      <c r="U17" s="10"/>
      <c r="V17" s="10"/>
      <c r="W17" s="17">
        <v>45</v>
      </c>
      <c r="X17" s="51">
        <f t="shared" si="3"/>
        <v>4059.4700000000003</v>
      </c>
      <c r="Y17" s="74">
        <f t="shared" si="4"/>
        <v>275536.05</v>
      </c>
    </row>
    <row r="18" spans="1:25" ht="21.75" customHeight="1" thickBot="1">
      <c r="A18" s="36" t="s">
        <v>35</v>
      </c>
      <c r="B18" s="31" t="s">
        <v>45</v>
      </c>
      <c r="C18" s="43">
        <v>0</v>
      </c>
      <c r="D18" s="64">
        <v>7131.78</v>
      </c>
      <c r="E18" s="43">
        <v>256</v>
      </c>
      <c r="F18" s="43">
        <v>0</v>
      </c>
      <c r="G18" s="64">
        <v>70.77</v>
      </c>
      <c r="H18" s="43">
        <v>52.96</v>
      </c>
      <c r="I18" s="43">
        <v>1743.85</v>
      </c>
      <c r="J18" s="43">
        <v>301.81</v>
      </c>
      <c r="K18" s="43">
        <v>992</v>
      </c>
      <c r="L18" s="9">
        <v>299.27</v>
      </c>
      <c r="M18" s="10">
        <v>154.02</v>
      </c>
      <c r="N18" s="10"/>
      <c r="O18" s="10"/>
      <c r="P18" s="10"/>
      <c r="Q18" s="10"/>
      <c r="R18" s="10"/>
      <c r="S18" s="10"/>
      <c r="T18" s="10"/>
      <c r="U18" s="10"/>
      <c r="V18" s="10"/>
      <c r="W18" s="17"/>
      <c r="X18" s="51">
        <f t="shared" si="3"/>
        <v>453.28999999999996</v>
      </c>
      <c r="Y18" s="74">
        <f t="shared" si="4"/>
        <v>11002.460000000001</v>
      </c>
    </row>
    <row r="19" spans="1:25" ht="12" customHeight="1" thickBot="1">
      <c r="A19" s="36" t="s">
        <v>36</v>
      </c>
      <c r="B19" s="31" t="s">
        <v>71</v>
      </c>
      <c r="C19" s="43">
        <v>10557.85</v>
      </c>
      <c r="D19" s="64">
        <v>13024.16</v>
      </c>
      <c r="E19" s="43">
        <v>6363.07</v>
      </c>
      <c r="F19" s="43">
        <v>0</v>
      </c>
      <c r="G19" s="64"/>
      <c r="H19" s="43">
        <v>0</v>
      </c>
      <c r="I19" s="43">
        <v>0</v>
      </c>
      <c r="J19" s="43">
        <v>29961.7</v>
      </c>
      <c r="K19" s="43">
        <v>15105.11</v>
      </c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7"/>
      <c r="X19" s="51">
        <f t="shared" si="3"/>
        <v>0</v>
      </c>
      <c r="Y19" s="74">
        <f t="shared" si="4"/>
        <v>75011.89</v>
      </c>
    </row>
    <row r="20" spans="1:25" ht="12" customHeight="1" thickBot="1">
      <c r="A20" s="36"/>
      <c r="B20" s="31" t="s">
        <v>72</v>
      </c>
      <c r="C20" s="43"/>
      <c r="D20" s="64"/>
      <c r="E20" s="43"/>
      <c r="F20" s="43"/>
      <c r="G20" s="64"/>
      <c r="H20" s="43"/>
      <c r="I20" s="43"/>
      <c r="J20" s="43">
        <v>2416.31</v>
      </c>
      <c r="K20" s="43">
        <v>3046.56</v>
      </c>
      <c r="L20" s="9">
        <v>254.66</v>
      </c>
      <c r="M20" s="9">
        <v>254.66</v>
      </c>
      <c r="N20" s="9">
        <v>254.66</v>
      </c>
      <c r="O20" s="9">
        <v>254.66</v>
      </c>
      <c r="P20" s="9">
        <v>254.66</v>
      </c>
      <c r="Q20" s="9">
        <v>254.66</v>
      </c>
      <c r="R20" s="9">
        <v>254.66</v>
      </c>
      <c r="S20" s="10">
        <v>264</v>
      </c>
      <c r="T20" s="10">
        <v>264</v>
      </c>
      <c r="U20" s="10">
        <v>259.33</v>
      </c>
      <c r="V20" s="10">
        <v>259.33</v>
      </c>
      <c r="W20" s="10">
        <v>259.33</v>
      </c>
      <c r="X20" s="51">
        <f>SUM(L20:W20)</f>
        <v>3088.6099999999997</v>
      </c>
      <c r="Y20" s="74">
        <f>SUM(C20:W20)</f>
        <v>8551.48</v>
      </c>
    </row>
    <row r="21" spans="1:25" ht="12" customHeight="1" thickBot="1">
      <c r="A21" s="36"/>
      <c r="B21" s="31" t="s">
        <v>73</v>
      </c>
      <c r="C21" s="43"/>
      <c r="D21" s="64"/>
      <c r="E21" s="43"/>
      <c r="F21" s="43"/>
      <c r="G21" s="64"/>
      <c r="H21" s="43"/>
      <c r="I21" s="43"/>
      <c r="J21" s="43">
        <v>1559.37</v>
      </c>
      <c r="K21" s="43">
        <v>2693.7</v>
      </c>
      <c r="L21" s="9">
        <v>225.43</v>
      </c>
      <c r="M21" s="9">
        <v>225.43</v>
      </c>
      <c r="N21" s="9">
        <v>225.43</v>
      </c>
      <c r="O21" s="9">
        <v>225.43</v>
      </c>
      <c r="P21" s="9">
        <v>225.43</v>
      </c>
      <c r="Q21" s="9">
        <v>225.43</v>
      </c>
      <c r="R21" s="9">
        <v>225.43</v>
      </c>
      <c r="S21" s="10">
        <v>250.83</v>
      </c>
      <c r="T21" s="10">
        <v>250.83</v>
      </c>
      <c r="U21" s="10">
        <v>250.83</v>
      </c>
      <c r="V21" s="10">
        <v>250.83</v>
      </c>
      <c r="W21" s="10">
        <v>250.83</v>
      </c>
      <c r="X21" s="51">
        <f>SUM(L21:W21)</f>
        <v>2832.16</v>
      </c>
      <c r="Y21" s="74">
        <f>SUM(C21:W21)</f>
        <v>7085.230000000001</v>
      </c>
    </row>
    <row r="22" spans="1:25" ht="14.25" customHeight="1" thickBot="1">
      <c r="A22" s="36" t="s">
        <v>37</v>
      </c>
      <c r="B22" s="31" t="s">
        <v>5</v>
      </c>
      <c r="C22" s="43">
        <v>1496.37</v>
      </c>
      <c r="D22" s="64">
        <v>996.87</v>
      </c>
      <c r="E22" s="43">
        <v>982.26</v>
      </c>
      <c r="F22" s="43">
        <v>995.86</v>
      </c>
      <c r="G22" s="64">
        <v>995.68</v>
      </c>
      <c r="H22" s="43">
        <v>1035.13</v>
      </c>
      <c r="I22" s="43">
        <v>603.07</v>
      </c>
      <c r="J22" s="43">
        <v>1217.54</v>
      </c>
      <c r="K22" s="43">
        <v>1042.27</v>
      </c>
      <c r="L22" s="9"/>
      <c r="M22" s="10"/>
      <c r="N22" s="10">
        <v>325.65</v>
      </c>
      <c r="O22" s="10"/>
      <c r="P22" s="10">
        <v>294.66</v>
      </c>
      <c r="Q22" s="10"/>
      <c r="R22" s="10"/>
      <c r="S22" s="10"/>
      <c r="T22" s="10">
        <v>209.81</v>
      </c>
      <c r="U22" s="10"/>
      <c r="V22" s="10">
        <v>307.56</v>
      </c>
      <c r="W22" s="17"/>
      <c r="X22" s="51">
        <f t="shared" si="3"/>
        <v>1137.6799999999998</v>
      </c>
      <c r="Y22" s="74">
        <f t="shared" si="4"/>
        <v>10502.729999999998</v>
      </c>
    </row>
    <row r="23" spans="1:25" ht="25.5" customHeight="1" thickBot="1">
      <c r="A23" s="36" t="s">
        <v>54</v>
      </c>
      <c r="B23" s="31" t="s">
        <v>74</v>
      </c>
      <c r="C23" s="43">
        <v>5234.44</v>
      </c>
      <c r="D23" s="64">
        <v>18668.63</v>
      </c>
      <c r="E23" s="43">
        <v>24428.1</v>
      </c>
      <c r="F23" s="43">
        <v>21927.25</v>
      </c>
      <c r="G23" s="64">
        <v>15667.58</v>
      </c>
      <c r="H23" s="43">
        <v>18492.87</v>
      </c>
      <c r="I23" s="43">
        <v>19560.37</v>
      </c>
      <c r="J23" s="43">
        <v>19870.96</v>
      </c>
      <c r="K23" s="43">
        <v>20886.06</v>
      </c>
      <c r="L23" s="9">
        <v>1683.28</v>
      </c>
      <c r="M23" s="10">
        <v>1764.39</v>
      </c>
      <c r="N23" s="10">
        <v>1400.93</v>
      </c>
      <c r="O23" s="10">
        <v>1677.82</v>
      </c>
      <c r="P23" s="10">
        <v>1395.78</v>
      </c>
      <c r="Q23" s="10">
        <v>1070.2</v>
      </c>
      <c r="R23" s="10">
        <v>1118.55</v>
      </c>
      <c r="S23" s="10">
        <v>949.48</v>
      </c>
      <c r="T23" s="10">
        <v>1067.42</v>
      </c>
      <c r="U23" s="10">
        <v>2210.42</v>
      </c>
      <c r="V23" s="10">
        <v>1397.7</v>
      </c>
      <c r="W23" s="17">
        <v>1189.16</v>
      </c>
      <c r="X23" s="51">
        <f t="shared" si="3"/>
        <v>16925.13</v>
      </c>
      <c r="Y23" s="74">
        <f t="shared" si="4"/>
        <v>181661.39000000004</v>
      </c>
    </row>
    <row r="24" spans="1:25" ht="24" customHeight="1" thickBot="1">
      <c r="A24" s="36" t="s">
        <v>56</v>
      </c>
      <c r="B24" s="31" t="s">
        <v>65</v>
      </c>
      <c r="C24" s="43">
        <v>9252.05</v>
      </c>
      <c r="D24" s="64">
        <v>10163.02</v>
      </c>
      <c r="E24" s="43">
        <v>3046.67</v>
      </c>
      <c r="F24" s="43">
        <v>2166.22</v>
      </c>
      <c r="G24" s="64">
        <v>4712.81</v>
      </c>
      <c r="H24" s="43">
        <v>3277.85</v>
      </c>
      <c r="I24" s="43">
        <v>2782.66</v>
      </c>
      <c r="J24" s="43">
        <v>2173.6</v>
      </c>
      <c r="K24" s="43">
        <v>2107.16</v>
      </c>
      <c r="L24" s="9">
        <v>133.19</v>
      </c>
      <c r="M24" s="10">
        <v>114.82</v>
      </c>
      <c r="N24" s="10">
        <v>100.06</v>
      </c>
      <c r="O24" s="10">
        <v>116.42</v>
      </c>
      <c r="P24" s="10">
        <v>12.3</v>
      </c>
      <c r="Q24" s="10">
        <v>174.5</v>
      </c>
      <c r="R24" s="10">
        <v>195.7</v>
      </c>
      <c r="S24" s="10">
        <v>228.29</v>
      </c>
      <c r="T24" s="10">
        <v>339.24</v>
      </c>
      <c r="U24" s="10">
        <v>83.88</v>
      </c>
      <c r="V24" s="10">
        <v>309.6</v>
      </c>
      <c r="W24" s="17">
        <v>108.96</v>
      </c>
      <c r="X24" s="51">
        <f t="shared" si="3"/>
        <v>1916.96</v>
      </c>
      <c r="Y24" s="74">
        <f t="shared" si="4"/>
        <v>41598.999999999985</v>
      </c>
    </row>
    <row r="25" spans="1:25" ht="36" customHeight="1" thickBot="1">
      <c r="A25" s="36" t="s">
        <v>57</v>
      </c>
      <c r="B25" s="31" t="s">
        <v>66</v>
      </c>
      <c r="C25" s="43">
        <v>4276.48</v>
      </c>
      <c r="D25" s="64">
        <v>17607.4</v>
      </c>
      <c r="E25" s="43">
        <v>15836.89</v>
      </c>
      <c r="F25" s="43">
        <v>21249.97</v>
      </c>
      <c r="G25" s="64">
        <v>18276.99</v>
      </c>
      <c r="H25" s="43">
        <v>23538.25</v>
      </c>
      <c r="I25" s="43">
        <v>20654.09</v>
      </c>
      <c r="J25" s="43">
        <v>21437.44</v>
      </c>
      <c r="K25" s="43">
        <v>23488.67</v>
      </c>
      <c r="L25" s="9">
        <f>83.13+805.48+992.13</f>
        <v>1880.74</v>
      </c>
      <c r="M25" s="10">
        <f>78.35+1122.2+961.72</f>
        <v>2162.27</v>
      </c>
      <c r="N25" s="10">
        <f>1003.01+68.15+748.19</f>
        <v>1819.3500000000001</v>
      </c>
      <c r="O25" s="10">
        <f>72.88+827.21+2657.89</f>
        <v>3557.98</v>
      </c>
      <c r="P25" s="10">
        <f>71.13+913.39+720.35</f>
        <v>1704.87</v>
      </c>
      <c r="Q25" s="10">
        <f>82.68+635.71+1275.49</f>
        <v>1993.88</v>
      </c>
      <c r="R25" s="10">
        <f>79.49+1076.71+580.9</f>
        <v>1737.1</v>
      </c>
      <c r="S25" s="10">
        <f>72.93+662.86+927.41</f>
        <v>1663.1999999999998</v>
      </c>
      <c r="T25" s="10">
        <f>53.07+589.41+844.31</f>
        <v>1486.79</v>
      </c>
      <c r="U25" s="10">
        <f>53.79+944.18+2399.11</f>
        <v>3397.08</v>
      </c>
      <c r="V25" s="10">
        <f>59.46+593.7+617.9</f>
        <v>1271.06</v>
      </c>
      <c r="W25" s="17">
        <f>59.33+1795.54+1037.15</f>
        <v>2892.02</v>
      </c>
      <c r="X25" s="51">
        <f t="shared" si="3"/>
        <v>25566.340000000004</v>
      </c>
      <c r="Y25" s="74">
        <f t="shared" si="4"/>
        <v>191932.52</v>
      </c>
    </row>
    <row r="26" spans="1:25" ht="15.75" customHeight="1" thickBot="1">
      <c r="A26" s="36" t="s">
        <v>58</v>
      </c>
      <c r="B26" s="31" t="s">
        <v>8</v>
      </c>
      <c r="C26" s="43">
        <v>83482.41</v>
      </c>
      <c r="D26" s="64">
        <v>157837.06</v>
      </c>
      <c r="E26" s="43">
        <v>195926.23</v>
      </c>
      <c r="F26" s="43">
        <v>209948.48</v>
      </c>
      <c r="G26" s="64">
        <v>214995.76</v>
      </c>
      <c r="H26" s="43">
        <v>249513.82</v>
      </c>
      <c r="I26" s="43">
        <v>230033.26</v>
      </c>
      <c r="J26" s="43">
        <v>228368.35</v>
      </c>
      <c r="K26" s="43">
        <v>247703.43</v>
      </c>
      <c r="L26" s="9">
        <f>29781.71-7024.5</f>
        <v>22757.21</v>
      </c>
      <c r="M26" s="10">
        <f>31878.62-10584.8</f>
        <v>21293.82</v>
      </c>
      <c r="N26" s="10">
        <f>27118.55-5692.4</f>
        <v>21426.15</v>
      </c>
      <c r="O26" s="10">
        <f>29350.6-7824.9</f>
        <v>21525.699999999997</v>
      </c>
      <c r="P26" s="10">
        <f>28621.76-6034.29</f>
        <v>22587.469999999998</v>
      </c>
      <c r="Q26" s="10">
        <f>30107.72-8016.46</f>
        <v>22091.260000000002</v>
      </c>
      <c r="R26" s="10">
        <f>28816.18-5843.23</f>
        <v>22972.95</v>
      </c>
      <c r="S26" s="10">
        <f>27373.51-5247.05</f>
        <v>22126.46</v>
      </c>
      <c r="T26" s="10">
        <f>42445.31-20974.07+1800</f>
        <v>23271.239999999998</v>
      </c>
      <c r="U26" s="10">
        <f>30536-7669.09</f>
        <v>22866.91</v>
      </c>
      <c r="V26" s="10">
        <f>28138.32-5198.23</f>
        <v>22940.09</v>
      </c>
      <c r="W26" s="17">
        <f>28847.72-6110.51</f>
        <v>22737.21</v>
      </c>
      <c r="X26" s="51">
        <f t="shared" si="3"/>
        <v>268596.47000000003</v>
      </c>
      <c r="Y26" s="74">
        <f t="shared" si="4"/>
        <v>2086405.2699999998</v>
      </c>
    </row>
    <row r="27" spans="1:25" ht="13.5" customHeight="1" thickBot="1">
      <c r="A27" s="36" t="s">
        <v>59</v>
      </c>
      <c r="B27" s="32" t="s">
        <v>3</v>
      </c>
      <c r="C27" s="44">
        <v>13179.99</v>
      </c>
      <c r="D27" s="65">
        <v>25457.52</v>
      </c>
      <c r="E27" s="44">
        <v>19054.69</v>
      </c>
      <c r="F27" s="44">
        <v>18690.85</v>
      </c>
      <c r="G27" s="65">
        <v>22084.73</v>
      </c>
      <c r="H27" s="43">
        <v>19969.37</v>
      </c>
      <c r="I27" s="81">
        <v>18560.82</v>
      </c>
      <c r="J27" s="81">
        <v>18709.52</v>
      </c>
      <c r="K27" s="81">
        <v>19449.8</v>
      </c>
      <c r="L27" s="11">
        <f>4.8+18.1+1465.03</f>
        <v>1487.93</v>
      </c>
      <c r="M27" s="12">
        <f>17.01+1318.6</f>
        <v>1335.61</v>
      </c>
      <c r="N27" s="12">
        <f>18.65+1457.67</f>
        <v>1476.3200000000002</v>
      </c>
      <c r="O27" s="12">
        <f>16.69+1298.04</f>
        <v>1314.73</v>
      </c>
      <c r="P27" s="12">
        <f>20.16+1489.63</f>
        <v>1509.7900000000002</v>
      </c>
      <c r="Q27" s="12">
        <f>2.6+16.94+1314.12</f>
        <v>1333.6599999999999</v>
      </c>
      <c r="R27" s="12">
        <f>20.79+1618.82</f>
        <v>1639.61</v>
      </c>
      <c r="S27" s="12">
        <f>18.01+1327.88</f>
        <v>1345.89</v>
      </c>
      <c r="T27" s="12">
        <f>18.18+1340.19</f>
        <v>1358.3700000000001</v>
      </c>
      <c r="U27" s="12">
        <f>18.25+1343.89</f>
        <v>1362.14</v>
      </c>
      <c r="V27" s="12">
        <f>17.61+1297.35</f>
        <v>1314.9599999999998</v>
      </c>
      <c r="W27" s="19">
        <f>17.5+1288.65</f>
        <v>1306.15</v>
      </c>
      <c r="X27" s="51">
        <f t="shared" si="3"/>
        <v>16785.16</v>
      </c>
      <c r="Y27" s="74">
        <f t="shared" si="4"/>
        <v>191942.44999999995</v>
      </c>
    </row>
    <row r="28" spans="1:25" ht="14.25" customHeight="1" thickBot="1">
      <c r="A28" s="36"/>
      <c r="B28" s="39" t="s">
        <v>62</v>
      </c>
      <c r="C28" s="67"/>
      <c r="D28" s="68"/>
      <c r="E28" s="67"/>
      <c r="F28" s="67"/>
      <c r="G28" s="77">
        <f>G8*5%</f>
        <v>24236.0985</v>
      </c>
      <c r="H28" s="70">
        <f>H8*5%</f>
        <v>24254.210000000003</v>
      </c>
      <c r="I28" s="70">
        <f>I8*5%</f>
        <v>24260.934</v>
      </c>
      <c r="J28" s="82">
        <f>SUM(J8+J9+J10)*5%</f>
        <v>25981.234500000002</v>
      </c>
      <c r="K28" s="82">
        <f>SUM(K8+K9+K10)*5%</f>
        <v>25329.714</v>
      </c>
      <c r="L28" s="69">
        <f>SUM(L8+L9+L10)*5%</f>
        <v>1902.5970000000002</v>
      </c>
      <c r="M28" s="69">
        <f aca="true" t="shared" si="5" ref="M28:W28">SUM(M8+M9+M10)*5%</f>
        <v>1902.501</v>
      </c>
      <c r="N28" s="69">
        <f t="shared" si="5"/>
        <v>1902.501</v>
      </c>
      <c r="O28" s="69">
        <f t="shared" si="5"/>
        <v>1902.501</v>
      </c>
      <c r="P28" s="69">
        <f t="shared" si="5"/>
        <v>1902.501</v>
      </c>
      <c r="Q28" s="69">
        <f t="shared" si="5"/>
        <v>1902.501</v>
      </c>
      <c r="R28" s="69">
        <f t="shared" si="5"/>
        <v>1904.0794999999998</v>
      </c>
      <c r="S28" s="69">
        <f t="shared" si="5"/>
        <v>1906.8705000000002</v>
      </c>
      <c r="T28" s="69">
        <f t="shared" si="5"/>
        <v>1906.5345000000007</v>
      </c>
      <c r="U28" s="69">
        <f t="shared" si="5"/>
        <v>1906.5360000000005</v>
      </c>
      <c r="V28" s="69">
        <f t="shared" si="5"/>
        <v>1906.5360000000005</v>
      </c>
      <c r="W28" s="69">
        <f t="shared" si="5"/>
        <v>1906.5360000000005</v>
      </c>
      <c r="X28" s="70">
        <f>SUM(L28:W28)</f>
        <v>22852.1945</v>
      </c>
      <c r="Y28" s="75"/>
    </row>
    <row r="29" spans="1:25" ht="13.5" customHeight="1" thickBot="1">
      <c r="A29" s="36" t="s">
        <v>38</v>
      </c>
      <c r="B29" s="55" t="s">
        <v>51</v>
      </c>
      <c r="C29" s="56"/>
      <c r="D29" s="66"/>
      <c r="E29" s="56"/>
      <c r="F29" s="56"/>
      <c r="G29" s="66"/>
      <c r="H29" s="80"/>
      <c r="I29" s="80"/>
      <c r="J29" s="79">
        <f aca="true" t="shared" si="6" ref="J29:W29">SUM(J8+J9+J10-J11)-J28</f>
        <v>46257.975500000015</v>
      </c>
      <c r="K29" s="79">
        <f>SUM(K8+K9+K10-K11)-K28</f>
        <v>2678.676000000014</v>
      </c>
      <c r="L29" s="71">
        <f t="shared" si="6"/>
        <v>6367.633000000003</v>
      </c>
      <c r="M29" s="71">
        <f t="shared" si="6"/>
        <v>4268.898999999994</v>
      </c>
      <c r="N29" s="71">
        <f t="shared" si="6"/>
        <v>9028.968999999994</v>
      </c>
      <c r="O29" s="71">
        <f t="shared" si="6"/>
        <v>6796.919000000002</v>
      </c>
      <c r="P29" s="71">
        <f t="shared" si="6"/>
        <v>7525.758999999998</v>
      </c>
      <c r="Q29" s="71">
        <f t="shared" si="6"/>
        <v>6039.798999999995</v>
      </c>
      <c r="R29" s="71">
        <f t="shared" si="6"/>
        <v>7361.330499999996</v>
      </c>
      <c r="S29" s="71">
        <f t="shared" si="6"/>
        <v>8857.029500000004</v>
      </c>
      <c r="T29" s="71">
        <f t="shared" si="6"/>
        <v>-6221.154499999996</v>
      </c>
      <c r="U29" s="71">
        <f t="shared" si="6"/>
        <v>5688.184000000008</v>
      </c>
      <c r="V29" s="71">
        <f t="shared" si="6"/>
        <v>8085.864000000009</v>
      </c>
      <c r="W29" s="71">
        <f t="shared" si="6"/>
        <v>-21103.535999999993</v>
      </c>
      <c r="X29" s="70">
        <f t="shared" si="3"/>
        <v>42695.695500000016</v>
      </c>
      <c r="Y29" s="75"/>
    </row>
    <row r="30" spans="1:25" ht="22.5" customHeight="1" thickBot="1">
      <c r="A30" s="83" t="s">
        <v>39</v>
      </c>
      <c r="B30" s="91" t="s">
        <v>22</v>
      </c>
      <c r="C30" s="92">
        <v>54317.68</v>
      </c>
      <c r="D30" s="93">
        <f>SUM(D8-D11)</f>
        <v>12000.78999999992</v>
      </c>
      <c r="E30" s="94">
        <f>SUM(E8-E11)</f>
        <v>74845.6499999999</v>
      </c>
      <c r="F30" s="94">
        <f>SUM(F8-F11)</f>
        <v>89802.04000000004</v>
      </c>
      <c r="G30" s="95">
        <f>SUM(G8-G11)-G28</f>
        <v>19524.091500000002</v>
      </c>
      <c r="H30" s="96">
        <f>SUM(H8-H11)-H28</f>
        <v>34405.02000000003</v>
      </c>
      <c r="I30" s="97">
        <f>SUM(I8-I11)-I28</f>
        <v>44620.03599999997</v>
      </c>
      <c r="J30" s="97">
        <f>SUM(J8+J9+J10-J11)-J28</f>
        <v>46257.975500000015</v>
      </c>
      <c r="K30" s="97">
        <f>SUM(K8+K9+K10-K11)-K28</f>
        <v>2678.676000000014</v>
      </c>
      <c r="L30" s="98">
        <f>SUM(L8+L9+L10-L11)-L28</f>
        <v>6367.633000000003</v>
      </c>
      <c r="M30" s="99">
        <f>SUM(M29+L30)</f>
        <v>10636.531999999997</v>
      </c>
      <c r="N30" s="99">
        <f aca="true" t="shared" si="7" ref="N30:W30">SUM(N29+M30)</f>
        <v>19665.50099999999</v>
      </c>
      <c r="O30" s="99">
        <f t="shared" si="7"/>
        <v>26462.41999999999</v>
      </c>
      <c r="P30" s="99">
        <f t="shared" si="7"/>
        <v>33988.17899999999</v>
      </c>
      <c r="Q30" s="99">
        <f t="shared" si="7"/>
        <v>40027.97799999999</v>
      </c>
      <c r="R30" s="99">
        <f t="shared" si="7"/>
        <v>47389.308499999985</v>
      </c>
      <c r="S30" s="99">
        <f t="shared" si="7"/>
        <v>56246.33799999999</v>
      </c>
      <c r="T30" s="99">
        <f t="shared" si="7"/>
        <v>50025.18349999999</v>
      </c>
      <c r="U30" s="99">
        <f t="shared" si="7"/>
        <v>55713.3675</v>
      </c>
      <c r="V30" s="99">
        <f t="shared" si="7"/>
        <v>63799.23150000001</v>
      </c>
      <c r="W30" s="99">
        <f t="shared" si="7"/>
        <v>42695.695500000016</v>
      </c>
      <c r="X30" s="100"/>
      <c r="Y30" s="101"/>
    </row>
    <row r="31" spans="1:25" ht="0.75" customHeight="1" thickBot="1">
      <c r="A31" s="37" t="s">
        <v>40</v>
      </c>
      <c r="B31" s="39" t="s">
        <v>23</v>
      </c>
      <c r="C31" s="39">
        <v>54317.68</v>
      </c>
      <c r="D31" s="18">
        <f>SUM(D8-D11,C31)</f>
        <v>66318.46999999991</v>
      </c>
      <c r="E31" s="51">
        <f>SUM(E8-E11,D31)</f>
        <v>141164.11999999982</v>
      </c>
      <c r="F31" s="51">
        <f>SUM(F8-F11,E31)</f>
        <v>230966.15999999986</v>
      </c>
      <c r="G31" s="78">
        <f>SUM(G30+F31)</f>
        <v>250490.25149999987</v>
      </c>
      <c r="H31" s="70">
        <f>SUM(H30+G31)</f>
        <v>284895.2714999999</v>
      </c>
      <c r="I31" s="70">
        <f>SUM(I30+H31)</f>
        <v>329515.3074999999</v>
      </c>
      <c r="J31" s="70">
        <f>SUM(J30+I31)</f>
        <v>375773.2829999999</v>
      </c>
      <c r="K31" s="70">
        <f>SUM(K30+J31)</f>
        <v>378451.9589999999</v>
      </c>
      <c r="L31" s="70">
        <f>SUM(L30+K31)-Y10</f>
        <v>362015.1819999999</v>
      </c>
      <c r="M31" s="72">
        <f>SUM(M29+L31)</f>
        <v>366284.0809999999</v>
      </c>
      <c r="N31" s="72">
        <f>SUM(N29+M31)</f>
        <v>375313.0499999999</v>
      </c>
      <c r="O31" s="72">
        <f aca="true" t="shared" si="8" ref="O31:V31">SUM(O29+N31)</f>
        <v>382109.96899999987</v>
      </c>
      <c r="P31" s="72">
        <f t="shared" si="8"/>
        <v>389635.7279999999</v>
      </c>
      <c r="Q31" s="72">
        <f t="shared" si="8"/>
        <v>395675.5269999999</v>
      </c>
      <c r="R31" s="72">
        <f t="shared" si="8"/>
        <v>403036.85749999987</v>
      </c>
      <c r="S31" s="72">
        <f>SUM(S29+R31)</f>
        <v>411893.8869999999</v>
      </c>
      <c r="T31" s="72">
        <f t="shared" si="8"/>
        <v>405672.73249999987</v>
      </c>
      <c r="U31" s="72">
        <f t="shared" si="8"/>
        <v>411360.9164999999</v>
      </c>
      <c r="V31" s="72">
        <f t="shared" si="8"/>
        <v>419446.7804999999</v>
      </c>
      <c r="W31" s="72">
        <f>SUM(W29+V31)</f>
        <v>398343.2444999999</v>
      </c>
      <c r="X31" s="51"/>
      <c r="Y31" s="46"/>
    </row>
    <row r="32" spans="1:25" ht="9" customHeight="1" hidden="1" thickBot="1">
      <c r="A32" s="37" t="s">
        <v>42</v>
      </c>
      <c r="B32" s="39" t="s">
        <v>7</v>
      </c>
      <c r="C32" s="40"/>
      <c r="D32" s="40"/>
      <c r="E32" s="59"/>
      <c r="F32" s="59"/>
      <c r="G32" s="59"/>
      <c r="H32" s="59"/>
      <c r="I32" s="59"/>
      <c r="J32" s="59"/>
      <c r="K32" s="59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51"/>
      <c r="Y32" s="47"/>
    </row>
    <row r="33" spans="1:25" ht="15" customHeight="1" hidden="1" thickBot="1">
      <c r="A33" s="54" t="s">
        <v>48</v>
      </c>
      <c r="B33" s="33" t="s">
        <v>24</v>
      </c>
      <c r="C33" s="40"/>
      <c r="D33" s="40"/>
      <c r="E33" s="59"/>
      <c r="F33" s="59"/>
      <c r="G33" s="59"/>
      <c r="H33" s="59"/>
      <c r="I33" s="59"/>
      <c r="J33" s="59"/>
      <c r="K33" s="59"/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0"/>
      <c r="X33" s="52"/>
      <c r="Y33" s="48"/>
    </row>
    <row r="34" spans="1:25" ht="24" customHeight="1" hidden="1" thickBot="1">
      <c r="A34" s="54" t="s">
        <v>49</v>
      </c>
      <c r="B34" s="34" t="s">
        <v>43</v>
      </c>
      <c r="C34" s="41"/>
      <c r="D34" s="41"/>
      <c r="E34" s="60"/>
      <c r="F34" s="60"/>
      <c r="G34" s="60"/>
      <c r="H34" s="60"/>
      <c r="I34" s="60"/>
      <c r="J34" s="60"/>
      <c r="K34" s="60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>
        <f>SUM(W30-W32)</f>
        <v>42695.695500000016</v>
      </c>
      <c r="X34" s="53"/>
      <c r="Y34" s="49"/>
    </row>
    <row r="35" spans="1:25" ht="24" customHeight="1" hidden="1" thickBot="1">
      <c r="A35" s="54" t="s">
        <v>50</v>
      </c>
      <c r="B35" s="34" t="s">
        <v>25</v>
      </c>
      <c r="C35" s="41"/>
      <c r="D35" s="41"/>
      <c r="E35" s="60"/>
      <c r="F35" s="60"/>
      <c r="G35" s="60"/>
      <c r="H35" s="60"/>
      <c r="I35" s="60"/>
      <c r="J35" s="60"/>
      <c r="K35" s="60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>
        <f>SUM(W31-W32)</f>
        <v>398343.2444999999</v>
      </c>
      <c r="X35" s="53"/>
      <c r="Y35" s="49"/>
    </row>
    <row r="36" spans="3:25" ht="0.75" customHeight="1" hidden="1"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/>
    </row>
    <row r="37" ht="12.75" hidden="1"/>
    <row r="38" ht="12.75" hidden="1"/>
    <row r="39" ht="12.75" hidden="1"/>
    <row r="40" ht="12.75" hidden="1"/>
    <row r="41" ht="12.75">
      <c r="B41" t="s">
        <v>52</v>
      </c>
    </row>
    <row r="45" ht="12.75" customHeight="1"/>
    <row r="46" ht="12.75" customHeight="1"/>
  </sheetData>
  <sheetProtection/>
  <mergeCells count="5">
    <mergeCell ref="B4:Y4"/>
    <mergeCell ref="B5:Y5"/>
    <mergeCell ref="B3:Y3"/>
    <mergeCell ref="B1:N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2020-02-20T12:58:52Z</cp:lastPrinted>
  <dcterms:created xsi:type="dcterms:W3CDTF">2011-06-16T11:06:26Z</dcterms:created>
  <dcterms:modified xsi:type="dcterms:W3CDTF">2020-03-11T08:28:44Z</dcterms:modified>
  <cp:category/>
  <cp:version/>
  <cp:contentType/>
  <cp:contentStatus/>
</cp:coreProperties>
</file>