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<sst xmlns="http://schemas.openxmlformats.org/spreadsheetml/2006/main" count="80" uniqueCount="80">
  <si>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</si>
  <si>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</si>
  <si>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</si>
  <si>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</si>
  <si>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</si>
  <si>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</si>
  <si>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</si>
  <si>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</si>
  <si>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</si>
  <si>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</si>
  <si>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</si>
  <si>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</si>
  <si>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</si>
  <si>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</si>
  <si>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</si>
  <si>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</si>
  <si>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</si>
  <si>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</si>
  <si>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</si>
  <si>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</si>
  <si>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</si>
  <si>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</si>
  <si>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</si>
  <si>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</si>
  <si>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</si>
  <si>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</si>
  <si>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</si>
  <si>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</si>
  <si>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</si>
  <si>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</si>
  <si>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</si>
  <si>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</si>
  <si>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</si>
  <si>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</si>
  <si>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</si>
  <si>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</si>
  <si>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</si>
  <si>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</si>
  <si>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</si>
  <si>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</si>
  <si>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</si>
  <si>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</si>
  <si>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</si>
  <si>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</si>
  <si>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</si>
  <si>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</si>
  <si>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</si>
  <si>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</si>
  <si>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д.4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</si>
  <si>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</si>
  <si>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</si>
  <si>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</si>
  <si>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</si>
  <si>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</si>
  <si>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</si>
  <si>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</si>
  <si>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</si>
  <si>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</si>
  <si>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</si>
  <si>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</si>
  <si>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</si>
  <si>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</si>
  <si>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</si>
  <si>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</si>
  <si>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</si>
  <si>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</si>
  <si>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</si>
  <si>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</si>
  <si>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</si>
  <si>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</si>
  <si>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</si>
  <si>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</si>
  <si>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</si>
  <si>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</si>
  <si>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</si>
  <si>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Итого за 2019 г</t>
  </si>
  <si>
    <t>Всего за 2010-2019</t>
  </si>
  <si>
    <t>Вывоз ТБО (Утилизация)</t>
  </si>
  <si>
    <t>Дом по ул.Попова  д.4 вступил в ООО "Наш дом" с февраля 2010 года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</si>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</sst>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/>
    </xf>
    <xf numFmtId="2" fontId="21" fillId="0" borderId="46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7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48" xfId="0" applyFont="1" applyBorder="1" applyAlignment="1">
      <alignment/>
    </xf>
    <xf numFmtId="0" fontId="28" fillId="0" borderId="46" xfId="0" applyFont="1" applyBorder="1" applyAlignment="1">
      <alignment/>
    </xf>
    <xf numFmtId="2" fontId="28" fillId="0" borderId="48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30" fillId="0" borderId="4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B4">
      <selection activeCell="Z30" sqref="Z30"/>
    </sheetView>
  </sheetViews>
  <sheetFormatPr defaultColWidth="9.00390625" defaultRowHeight="12.75"/>
  <cols>
    <col min="1" max="1" width="3.25390625" style="26" hidden="1" customWidth="1"/>
    <col min="2" max="2" width="21.375" style="0" customWidth="1"/>
    <col min="3" max="4" width="8.00390625" style="0" hidden="1" customWidth="1"/>
    <col min="5" max="5" width="9.875" style="0" hidden="1" customWidth="1"/>
    <col min="6" max="6" width="9.75390625" style="0" hidden="1" customWidth="1"/>
    <col min="7" max="7" width="9.375" style="0" hidden="1" customWidth="1"/>
    <col min="8" max="8" width="9.625" style="0" hidden="1" customWidth="1"/>
    <col min="9" max="9" width="9.125" style="0" hidden="1" customWidth="1"/>
    <col min="10" max="10" width="9.00390625" style="0" hidden="1" customWidth="1"/>
    <col min="11" max="11" width="9.375" style="0" hidden="1" customWidth="1"/>
    <col min="12" max="12" width="8.75390625" style="0" customWidth="1"/>
    <col min="13" max="13" width="8.375" style="0" customWidth="1"/>
    <col min="14" max="15" width="8.25390625" style="0" customWidth="1"/>
    <col min="16" max="16" width="8.625" style="0" customWidth="1"/>
    <col min="17" max="17" width="8.75390625" style="0" customWidth="1"/>
    <col min="18" max="18" width="8.25390625" style="0" customWidth="1"/>
    <col min="19" max="20" width="8.375" style="0" customWidth="1"/>
    <col min="21" max="21" width="7.75390625" style="0" customWidth="1"/>
    <col min="22" max="23" width="8.75390625" style="0" customWidth="1"/>
    <col min="24" max="24" width="9.375" style="0" customWidth="1"/>
    <col min="25" max="25" width="10.25390625" style="0" customWidth="1"/>
  </cols>
  <sheetData>
    <row r="1" spans="2:30" ht="12.75" customHeight="1">
      <c r="B1" s="100" t="s">
        <v>79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101"/>
      <c r="X2" s="101"/>
      <c r="Y2" s="4"/>
      <c r="Z2" s="4"/>
      <c r="AA2" s="4"/>
      <c r="AB2" s="4"/>
      <c r="AC2" s="4"/>
      <c r="AD2" s="4"/>
    </row>
    <row r="3" spans="2:30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3"/>
      <c r="AA3" s="3"/>
      <c r="AB3" s="3"/>
      <c r="AC3" s="3"/>
      <c r="AD3" s="3"/>
    </row>
    <row r="4" spans="2:30" ht="15" customHeight="1">
      <c r="B4" s="98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2"/>
      <c r="AA4" s="2"/>
      <c r="AB4" s="2"/>
      <c r="AC4" s="2"/>
      <c r="AD4" s="2"/>
    </row>
    <row r="5" spans="2:30" ht="12.75" customHeight="1" thickBot="1">
      <c r="B5" s="98" t="s">
        <v>48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7" customHeight="1" thickBot="1">
      <c r="A7" s="35" t="s">
        <v>26</v>
      </c>
      <c r="B7" s="27" t="s">
        <v>6</v>
      </c>
      <c r="C7" s="38" t="s">
        <v>45</v>
      </c>
      <c r="D7" s="49" t="s">
        <v>49</v>
      </c>
      <c r="E7" s="49" t="s">
        <v>53</v>
      </c>
      <c r="F7" s="49" t="s">
        <v>57</v>
      </c>
      <c r="G7" s="71" t="s">
        <v>58</v>
      </c>
      <c r="H7" s="49" t="s">
        <v>61</v>
      </c>
      <c r="I7" s="49" t="s">
        <v>66</v>
      </c>
      <c r="J7" s="49" t="s">
        <v>67</v>
      </c>
      <c r="K7" s="49" t="s">
        <v>74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49" t="s">
        <v>75</v>
      </c>
      <c r="Y7" s="75" t="s">
        <v>76</v>
      </c>
      <c r="Z7" s="1"/>
      <c r="AA7" s="1"/>
      <c r="AB7" s="1"/>
      <c r="AC7" s="1"/>
      <c r="AD7" s="1"/>
    </row>
    <row r="8" spans="1:25" ht="13.5" thickBot="1">
      <c r="A8" s="36" t="s">
        <v>27</v>
      </c>
      <c r="B8" s="28" t="s">
        <v>1</v>
      </c>
      <c r="C8" s="57">
        <v>149653.64</v>
      </c>
      <c r="D8" s="60">
        <v>166353.6</v>
      </c>
      <c r="E8" s="57">
        <v>166232.96</v>
      </c>
      <c r="F8" s="57">
        <v>166230.2</v>
      </c>
      <c r="G8" s="60">
        <v>166115.2</v>
      </c>
      <c r="H8" s="57">
        <v>166096.8</v>
      </c>
      <c r="I8" s="57">
        <v>166096.8</v>
      </c>
      <c r="J8" s="57">
        <v>162718.6</v>
      </c>
      <c r="K8" s="57">
        <v>162189.56</v>
      </c>
      <c r="L8" s="7">
        <v>12576.64</v>
      </c>
      <c r="M8" s="7">
        <v>12576.64</v>
      </c>
      <c r="N8" s="7">
        <v>12576.64</v>
      </c>
      <c r="O8" s="7">
        <v>12576.64</v>
      </c>
      <c r="P8" s="7">
        <v>12576.64</v>
      </c>
      <c r="Q8" s="7">
        <v>12576.64</v>
      </c>
      <c r="R8" s="7">
        <v>12576.64</v>
      </c>
      <c r="S8" s="7">
        <v>12576.64</v>
      </c>
      <c r="T8" s="7">
        <v>12576.64</v>
      </c>
      <c r="U8" s="7">
        <v>12576.64</v>
      </c>
      <c r="V8" s="7">
        <v>12576.64</v>
      </c>
      <c r="W8" s="7">
        <v>12576.64</v>
      </c>
      <c r="X8" s="53">
        <f>SUM(L8:W8)</f>
        <v>150919.68</v>
      </c>
      <c r="Y8" s="76">
        <f>SUM(C8:W8)</f>
        <v>1622607.0399999989</v>
      </c>
    </row>
    <row r="9" spans="1:25" ht="13.5" thickBot="1">
      <c r="A9" s="36"/>
      <c r="B9" s="28" t="s">
        <v>68</v>
      </c>
      <c r="C9" s="74"/>
      <c r="D9" s="60"/>
      <c r="E9" s="74"/>
      <c r="F9" s="74"/>
      <c r="G9" s="60"/>
      <c r="H9" s="74"/>
      <c r="I9" s="74"/>
      <c r="J9" s="74">
        <v>13271.69</v>
      </c>
      <c r="K9" s="74">
        <v>10523.25</v>
      </c>
      <c r="L9" s="7">
        <f aca="true" t="shared" si="0" ref="L9:Q9">66.59+58.97</f>
        <v>125.56</v>
      </c>
      <c r="M9" s="7">
        <f t="shared" si="0"/>
        <v>125.56</v>
      </c>
      <c r="N9" s="7">
        <f t="shared" si="0"/>
        <v>125.56</v>
      </c>
      <c r="O9" s="7">
        <f t="shared" si="0"/>
        <v>125.56</v>
      </c>
      <c r="P9" s="7">
        <f t="shared" si="0"/>
        <v>125.56</v>
      </c>
      <c r="Q9" s="7">
        <f t="shared" si="0"/>
        <v>125.56</v>
      </c>
      <c r="R9" s="8">
        <f aca="true" t="shared" si="1" ref="R9:W9">67.84+65.57</f>
        <v>133.41</v>
      </c>
      <c r="S9" s="8">
        <f t="shared" si="1"/>
        <v>133.41</v>
      </c>
      <c r="T9" s="8">
        <f t="shared" si="1"/>
        <v>133.41</v>
      </c>
      <c r="U9" s="8">
        <f t="shared" si="1"/>
        <v>133.41</v>
      </c>
      <c r="V9" s="8">
        <f t="shared" si="1"/>
        <v>133.41</v>
      </c>
      <c r="W9" s="8">
        <f t="shared" si="1"/>
        <v>133.41</v>
      </c>
      <c r="X9" s="53">
        <f>SUM(L9:W9)</f>
        <v>1553.8200000000002</v>
      </c>
      <c r="Y9" s="76">
        <f>SUM(C9:W9)</f>
        <v>25348.76000000001</v>
      </c>
    </row>
    <row r="10" spans="1:25" ht="12" customHeight="1" thickBot="1">
      <c r="A10" s="36"/>
      <c r="B10" s="28" t="s">
        <v>69</v>
      </c>
      <c r="C10" s="74"/>
      <c r="D10" s="60"/>
      <c r="E10" s="74"/>
      <c r="F10" s="74"/>
      <c r="G10" s="60"/>
      <c r="H10" s="74"/>
      <c r="I10" s="74"/>
      <c r="J10" s="74">
        <v>3639.23</v>
      </c>
      <c r="K10" s="74">
        <v>4333.33</v>
      </c>
      <c r="L10" s="7">
        <v>406.97</v>
      </c>
      <c r="M10" s="7">
        <v>406.97</v>
      </c>
      <c r="N10" s="7">
        <v>406.97</v>
      </c>
      <c r="O10" s="7">
        <v>406.97</v>
      </c>
      <c r="P10" s="7">
        <v>406.97</v>
      </c>
      <c r="Q10" s="7">
        <v>406.97</v>
      </c>
      <c r="R10" s="8">
        <v>408.59</v>
      </c>
      <c r="S10" s="8">
        <v>408.59</v>
      </c>
      <c r="T10" s="8">
        <v>408.59</v>
      </c>
      <c r="U10" s="8">
        <v>408.59</v>
      </c>
      <c r="V10" s="8">
        <v>408.59</v>
      </c>
      <c r="W10" s="8">
        <v>408.59</v>
      </c>
      <c r="X10" s="53">
        <f>SUM(L10:W10)</f>
        <v>4893.360000000001</v>
      </c>
      <c r="Y10" s="76">
        <f>SUM(C10:W10)</f>
        <v>12865.919999999996</v>
      </c>
    </row>
    <row r="11" spans="1:25" s="87" customFormat="1" ht="13.5" thickBot="1">
      <c r="A11" s="80" t="s">
        <v>28</v>
      </c>
      <c r="B11" s="81" t="s">
        <v>2</v>
      </c>
      <c r="C11" s="82">
        <f aca="true" t="shared" si="2" ref="C11:L11">SUM(C12:C26)</f>
        <v>119711.21999999999</v>
      </c>
      <c r="D11" s="83">
        <f t="shared" si="2"/>
        <v>148636.87000000002</v>
      </c>
      <c r="E11" s="82">
        <f t="shared" si="2"/>
        <v>137389.5</v>
      </c>
      <c r="F11" s="82">
        <f t="shared" si="2"/>
        <v>173628.56</v>
      </c>
      <c r="G11" s="84">
        <f t="shared" si="2"/>
        <v>139927.14</v>
      </c>
      <c r="H11" s="82">
        <f>SUM(H12:H26)</f>
        <v>159778.75</v>
      </c>
      <c r="I11" s="82">
        <f>SUM(I12:I26)</f>
        <v>167701.99999999997</v>
      </c>
      <c r="J11" s="82">
        <f>SUM(J12:J26)</f>
        <v>160828.92999999996</v>
      </c>
      <c r="K11" s="82">
        <f t="shared" si="2"/>
        <v>178715.41999999998</v>
      </c>
      <c r="L11" s="85">
        <f t="shared" si="2"/>
        <v>14479.72</v>
      </c>
      <c r="M11" s="85">
        <f aca="true" t="shared" si="3" ref="M11:W11">SUM(M12:M26)</f>
        <v>23275.16</v>
      </c>
      <c r="N11" s="85">
        <f t="shared" si="3"/>
        <v>10180.41</v>
      </c>
      <c r="O11" s="85">
        <f t="shared" si="3"/>
        <v>36609.79</v>
      </c>
      <c r="P11" s="85">
        <f t="shared" si="3"/>
        <v>12440.5</v>
      </c>
      <c r="Q11" s="85">
        <f>SUM(Q12:Q26)</f>
        <v>11426.659999999998</v>
      </c>
      <c r="R11" s="85">
        <f t="shared" si="3"/>
        <v>17622.48</v>
      </c>
      <c r="S11" s="85">
        <f t="shared" si="3"/>
        <v>10545.53</v>
      </c>
      <c r="T11" s="85">
        <f t="shared" si="3"/>
        <v>11453.07</v>
      </c>
      <c r="U11" s="85">
        <f t="shared" si="3"/>
        <v>11641.42</v>
      </c>
      <c r="V11" s="85">
        <f t="shared" si="3"/>
        <v>10441.48</v>
      </c>
      <c r="W11" s="83">
        <f t="shared" si="3"/>
        <v>11415.63</v>
      </c>
      <c r="X11" s="82">
        <f>SUM(L11:W11)</f>
        <v>181531.85000000003</v>
      </c>
      <c r="Y11" s="86">
        <f>SUM(C11:W11)</f>
        <v>1567850.2399999995</v>
      </c>
    </row>
    <row r="12" spans="1:25" ht="13.5" thickBot="1">
      <c r="A12" s="36" t="s">
        <v>29</v>
      </c>
      <c r="B12" s="30" t="s">
        <v>77</v>
      </c>
      <c r="C12" s="42">
        <v>21641.17</v>
      </c>
      <c r="D12" s="61">
        <v>27321.71</v>
      </c>
      <c r="E12" s="42">
        <v>28733.6</v>
      </c>
      <c r="F12" s="42">
        <v>32933.6</v>
      </c>
      <c r="G12" s="61">
        <v>31339.63</v>
      </c>
      <c r="H12" s="42">
        <v>25452.55</v>
      </c>
      <c r="I12" s="42">
        <v>25677.25</v>
      </c>
      <c r="J12" s="42">
        <v>26780.7</v>
      </c>
      <c r="K12" s="42">
        <v>28307.53</v>
      </c>
      <c r="L12" s="7"/>
      <c r="M12" s="8"/>
      <c r="N12" s="8"/>
      <c r="O12" s="8">
        <v>89.52</v>
      </c>
      <c r="P12" s="8">
        <v>52.17</v>
      </c>
      <c r="Q12" s="8">
        <v>21.59</v>
      </c>
      <c r="R12" s="8">
        <v>56.88</v>
      </c>
      <c r="S12" s="8">
        <v>41.25</v>
      </c>
      <c r="T12" s="8">
        <v>10.34</v>
      </c>
      <c r="U12" s="8">
        <v>36.96</v>
      </c>
      <c r="V12" s="8">
        <v>30.77</v>
      </c>
      <c r="W12" s="16">
        <v>21.23</v>
      </c>
      <c r="X12" s="50">
        <f aca="true" t="shared" si="4" ref="X12:X28">SUM(L12:W12)</f>
        <v>360.7099999999999</v>
      </c>
      <c r="Y12" s="77">
        <f aca="true" t="shared" si="5" ref="Y12:Y26">SUM(C12:W12)</f>
        <v>248548.44999999998</v>
      </c>
    </row>
    <row r="13" spans="1:25" ht="13.5" customHeight="1" thickBot="1">
      <c r="A13" s="36" t="s">
        <v>30</v>
      </c>
      <c r="B13" s="31" t="s">
        <v>62</v>
      </c>
      <c r="C13" s="43">
        <v>36362.86</v>
      </c>
      <c r="D13" s="62">
        <v>15287.07</v>
      </c>
      <c r="E13" s="43">
        <v>2964.51</v>
      </c>
      <c r="F13" s="43">
        <v>1165.99</v>
      </c>
      <c r="G13" s="62">
        <v>4334</v>
      </c>
      <c r="H13" s="43">
        <v>9934.84</v>
      </c>
      <c r="I13" s="43">
        <v>6577.27</v>
      </c>
      <c r="J13" s="43">
        <v>500</v>
      </c>
      <c r="K13" s="43">
        <v>1766</v>
      </c>
      <c r="L13" s="9">
        <v>2000</v>
      </c>
      <c r="M13" s="10">
        <v>1800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0">
        <f t="shared" si="4"/>
        <v>3800</v>
      </c>
      <c r="Y13" s="77">
        <f t="shared" si="5"/>
        <v>82692.54000000001</v>
      </c>
    </row>
    <row r="14" spans="1:25" ht="16.5" customHeight="1" thickBot="1">
      <c r="A14" s="36" t="s">
        <v>31</v>
      </c>
      <c r="B14" s="29" t="s">
        <v>4</v>
      </c>
      <c r="C14" s="43">
        <v>3639.08</v>
      </c>
      <c r="D14" s="62">
        <v>0</v>
      </c>
      <c r="E14" s="43">
        <v>0</v>
      </c>
      <c r="F14" s="43">
        <v>10019.38</v>
      </c>
      <c r="G14" s="62"/>
      <c r="H14" s="43">
        <v>0</v>
      </c>
      <c r="I14" s="43">
        <v>10084.3</v>
      </c>
      <c r="J14" s="43">
        <v>0</v>
      </c>
      <c r="K14" s="43">
        <v>13209.71</v>
      </c>
      <c r="L14" s="9"/>
      <c r="M14" s="10"/>
      <c r="N14" s="10"/>
      <c r="O14" s="10"/>
      <c r="P14" s="10"/>
      <c r="Q14" s="10"/>
      <c r="R14" s="10">
        <v>6527.5</v>
      </c>
      <c r="S14" s="10"/>
      <c r="T14" s="10"/>
      <c r="U14" s="10"/>
      <c r="V14" s="10"/>
      <c r="W14" s="17"/>
      <c r="X14" s="50">
        <f t="shared" si="4"/>
        <v>6527.5</v>
      </c>
      <c r="Y14" s="77">
        <f t="shared" si="5"/>
        <v>43479.97</v>
      </c>
    </row>
    <row r="15" spans="1:25" ht="24" customHeight="1" thickBot="1">
      <c r="A15" s="36" t="s">
        <v>32</v>
      </c>
      <c r="B15" s="29" t="s">
        <v>50</v>
      </c>
      <c r="C15" s="43">
        <v>0</v>
      </c>
      <c r="D15" s="62">
        <v>1849.57</v>
      </c>
      <c r="E15" s="43">
        <v>0</v>
      </c>
      <c r="F15" s="43">
        <v>0</v>
      </c>
      <c r="G15" s="62"/>
      <c r="H15" s="43">
        <v>1200</v>
      </c>
      <c r="I15" s="43">
        <v>2800</v>
      </c>
      <c r="J15" s="43">
        <v>2000</v>
      </c>
      <c r="K15" s="43">
        <v>1900</v>
      </c>
      <c r="L15" s="9">
        <v>1600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7"/>
      <c r="X15" s="50">
        <f t="shared" si="4"/>
        <v>1600</v>
      </c>
      <c r="Y15" s="77">
        <f t="shared" si="5"/>
        <v>11349.57</v>
      </c>
    </row>
    <row r="16" spans="1:25" ht="14.25" customHeight="1" thickBot="1">
      <c r="A16" s="36" t="s">
        <v>33</v>
      </c>
      <c r="B16" s="31" t="s">
        <v>60</v>
      </c>
      <c r="C16" s="43">
        <v>7751.29</v>
      </c>
      <c r="D16" s="62">
        <v>9636.77</v>
      </c>
      <c r="E16" s="43">
        <v>1435.34</v>
      </c>
      <c r="F16" s="43">
        <v>24908.31</v>
      </c>
      <c r="G16" s="62">
        <v>818.6</v>
      </c>
      <c r="H16" s="43">
        <v>7125.09</v>
      </c>
      <c r="I16" s="43">
        <v>10297.32</v>
      </c>
      <c r="J16" s="43">
        <v>5937.92</v>
      </c>
      <c r="K16" s="43">
        <v>4602.91</v>
      </c>
      <c r="L16" s="9">
        <v>60</v>
      </c>
      <c r="M16" s="10">
        <f>7831.57+1400</f>
        <v>9231.57</v>
      </c>
      <c r="N16" s="10">
        <v>75</v>
      </c>
      <c r="O16" s="10">
        <f>18604.86+2527</f>
        <v>21131.86</v>
      </c>
      <c r="P16" s="10">
        <f>1075.37+320</f>
        <v>1395.37</v>
      </c>
      <c r="Q16" s="10">
        <f>761.8+450</f>
        <v>1211.8</v>
      </c>
      <c r="R16" s="10">
        <v>584.38</v>
      </c>
      <c r="S16" s="10">
        <v>385</v>
      </c>
      <c r="T16" s="10">
        <f>1107.93+250</f>
        <v>1357.93</v>
      </c>
      <c r="U16" s="10">
        <v>60</v>
      </c>
      <c r="V16" s="10"/>
      <c r="W16" s="17">
        <v>567.46</v>
      </c>
      <c r="X16" s="50">
        <f t="shared" si="4"/>
        <v>36060.369999999995</v>
      </c>
      <c r="Y16" s="77">
        <f t="shared" si="5"/>
        <v>108573.92000000003</v>
      </c>
    </row>
    <row r="17" spans="1:25" ht="14.25" customHeight="1" thickBot="1">
      <c r="A17" s="36" t="s">
        <v>34</v>
      </c>
      <c r="B17" s="31" t="s">
        <v>54</v>
      </c>
      <c r="C17" s="43">
        <v>0</v>
      </c>
      <c r="D17" s="62">
        <v>0</v>
      </c>
      <c r="E17" s="43">
        <v>256</v>
      </c>
      <c r="F17" s="43">
        <v>0</v>
      </c>
      <c r="G17" s="62">
        <v>20.84</v>
      </c>
      <c r="H17" s="43">
        <v>752.96</v>
      </c>
      <c r="I17" s="43">
        <v>51</v>
      </c>
      <c r="J17" s="43">
        <v>380.68</v>
      </c>
      <c r="K17" s="43">
        <v>92</v>
      </c>
      <c r="L17" s="9">
        <v>91.93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7"/>
      <c r="X17" s="50">
        <f t="shared" si="4"/>
        <v>91.93</v>
      </c>
      <c r="Y17" s="77">
        <f t="shared" si="5"/>
        <v>1645.41</v>
      </c>
    </row>
    <row r="18" spans="1:25" ht="12.75" customHeight="1" thickBot="1">
      <c r="A18" s="36" t="s">
        <v>35</v>
      </c>
      <c r="B18" s="31" t="s">
        <v>70</v>
      </c>
      <c r="C18" s="43">
        <v>5371.76</v>
      </c>
      <c r="D18" s="62">
        <v>6344.01</v>
      </c>
      <c r="E18" s="43">
        <v>3916.58</v>
      </c>
      <c r="F18" s="43">
        <v>0</v>
      </c>
      <c r="G18" s="62"/>
      <c r="H18" s="43">
        <v>0</v>
      </c>
      <c r="I18" s="43">
        <v>0</v>
      </c>
      <c r="J18" s="43">
        <v>12223.14</v>
      </c>
      <c r="K18" s="43">
        <v>9014.63</v>
      </c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50">
        <f t="shared" si="4"/>
        <v>0</v>
      </c>
      <c r="Y18" s="77">
        <f t="shared" si="5"/>
        <v>36870.119999999995</v>
      </c>
    </row>
    <row r="19" spans="1:25" ht="12.75" customHeight="1" thickBot="1">
      <c r="A19" s="36"/>
      <c r="B19" s="31" t="s">
        <v>71</v>
      </c>
      <c r="C19" s="43"/>
      <c r="D19" s="62"/>
      <c r="E19" s="43"/>
      <c r="F19" s="43"/>
      <c r="G19" s="62"/>
      <c r="H19" s="43"/>
      <c r="I19" s="43"/>
      <c r="J19" s="43">
        <v>650.35</v>
      </c>
      <c r="K19" s="43">
        <v>819.96</v>
      </c>
      <c r="L19" s="9">
        <v>68.54</v>
      </c>
      <c r="M19" s="9">
        <v>68.54</v>
      </c>
      <c r="N19" s="9">
        <v>68.54</v>
      </c>
      <c r="O19" s="9">
        <v>68.54</v>
      </c>
      <c r="P19" s="9">
        <v>68.54</v>
      </c>
      <c r="Q19" s="9">
        <v>68.54</v>
      </c>
      <c r="R19" s="9">
        <v>68.54</v>
      </c>
      <c r="S19" s="10">
        <v>71.06</v>
      </c>
      <c r="T19" s="10">
        <v>69.8</v>
      </c>
      <c r="U19" s="10">
        <v>69.8</v>
      </c>
      <c r="V19" s="10">
        <v>69.8</v>
      </c>
      <c r="W19" s="10">
        <v>69.8</v>
      </c>
      <c r="X19" s="50">
        <f>SUM(L19:W19)</f>
        <v>830.04</v>
      </c>
      <c r="Y19" s="77">
        <f>SUM(C19:W19)</f>
        <v>2300.3500000000004</v>
      </c>
    </row>
    <row r="20" spans="1:25" ht="12.75" customHeight="1" thickBot="1">
      <c r="A20" s="36"/>
      <c r="B20" s="31" t="s">
        <v>72</v>
      </c>
      <c r="C20" s="43"/>
      <c r="D20" s="62"/>
      <c r="E20" s="43"/>
      <c r="F20" s="43"/>
      <c r="G20" s="62"/>
      <c r="H20" s="43"/>
      <c r="I20" s="43"/>
      <c r="J20" s="43">
        <v>419.7</v>
      </c>
      <c r="K20" s="43">
        <v>725.04</v>
      </c>
      <c r="L20" s="9">
        <v>60.68</v>
      </c>
      <c r="M20" s="9">
        <v>60.68</v>
      </c>
      <c r="N20" s="9">
        <v>60.68</v>
      </c>
      <c r="O20" s="9">
        <v>60.68</v>
      </c>
      <c r="P20" s="9">
        <v>60.68</v>
      </c>
      <c r="Q20" s="9">
        <v>60.68</v>
      </c>
      <c r="R20" s="9">
        <v>60.68</v>
      </c>
      <c r="S20" s="10">
        <v>74.34</v>
      </c>
      <c r="T20" s="10">
        <v>67.51</v>
      </c>
      <c r="U20" s="10">
        <v>67.51</v>
      </c>
      <c r="V20" s="10">
        <v>67.51</v>
      </c>
      <c r="W20" s="10">
        <v>67.51</v>
      </c>
      <c r="X20" s="50">
        <f>SUM(L20:W20)</f>
        <v>769.14</v>
      </c>
      <c r="Y20" s="77">
        <f>SUM(C20:W20)</f>
        <v>1913.8800000000003</v>
      </c>
    </row>
    <row r="21" spans="1:25" ht="22.5" customHeight="1" thickBot="1">
      <c r="A21" s="36" t="s">
        <v>36</v>
      </c>
      <c r="B21" s="31" t="s">
        <v>5</v>
      </c>
      <c r="C21" s="43">
        <v>885.89</v>
      </c>
      <c r="D21" s="62">
        <v>401.57</v>
      </c>
      <c r="E21" s="43">
        <v>572.81</v>
      </c>
      <c r="F21" s="43">
        <v>388.07</v>
      </c>
      <c r="G21" s="62">
        <v>235.68</v>
      </c>
      <c r="H21" s="43">
        <v>0</v>
      </c>
      <c r="I21" s="43">
        <v>0</v>
      </c>
      <c r="J21" s="43">
        <v>0</v>
      </c>
      <c r="K21" s="43">
        <v>0</v>
      </c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7"/>
      <c r="X21" s="50">
        <f t="shared" si="4"/>
        <v>0</v>
      </c>
      <c r="Y21" s="77">
        <f t="shared" si="5"/>
        <v>2484.02</v>
      </c>
    </row>
    <row r="22" spans="1:25" ht="27.75" customHeight="1" thickBot="1">
      <c r="A22" s="36" t="s">
        <v>37</v>
      </c>
      <c r="B22" s="31" t="s">
        <v>73</v>
      </c>
      <c r="C22" s="43">
        <v>2013.39</v>
      </c>
      <c r="D22" s="62">
        <v>7167.96</v>
      </c>
      <c r="E22" s="43">
        <v>9027.66</v>
      </c>
      <c r="F22" s="43">
        <v>8580.42</v>
      </c>
      <c r="G22" s="62">
        <v>6006.58</v>
      </c>
      <c r="H22" s="43">
        <v>7083.55</v>
      </c>
      <c r="I22" s="43">
        <v>7490.64</v>
      </c>
      <c r="J22" s="43">
        <v>7610.22</v>
      </c>
      <c r="K22" s="43">
        <v>7971.19</v>
      </c>
      <c r="L22" s="9">
        <v>639.15</v>
      </c>
      <c r="M22" s="10">
        <v>669.98</v>
      </c>
      <c r="N22" s="10">
        <v>531.97</v>
      </c>
      <c r="O22" s="10">
        <v>637.11</v>
      </c>
      <c r="P22" s="10">
        <v>530.01</v>
      </c>
      <c r="Q22" s="10">
        <v>406.38</v>
      </c>
      <c r="R22" s="10">
        <v>424.74</v>
      </c>
      <c r="S22" s="10">
        <v>360</v>
      </c>
      <c r="T22" s="10">
        <v>404.79</v>
      </c>
      <c r="U22" s="10">
        <v>838.24</v>
      </c>
      <c r="V22" s="10">
        <v>530.04</v>
      </c>
      <c r="W22" s="17">
        <v>450.96</v>
      </c>
      <c r="X22" s="50">
        <f t="shared" si="4"/>
        <v>6423.37</v>
      </c>
      <c r="Y22" s="77">
        <f t="shared" si="5"/>
        <v>69374.98000000003</v>
      </c>
    </row>
    <row r="23" spans="1:25" ht="25.5" customHeight="1" thickBot="1">
      <c r="A23" s="36" t="s">
        <v>38</v>
      </c>
      <c r="B23" s="31" t="s">
        <v>63</v>
      </c>
      <c r="C23" s="43">
        <v>3559.4</v>
      </c>
      <c r="D23" s="62">
        <v>3902.66</v>
      </c>
      <c r="E23" s="43">
        <v>1169.54</v>
      </c>
      <c r="F23" s="43">
        <v>831.41</v>
      </c>
      <c r="G23" s="62">
        <v>1806.92</v>
      </c>
      <c r="H23" s="43">
        <v>1220.77</v>
      </c>
      <c r="I23" s="43">
        <v>1065.63</v>
      </c>
      <c r="J23" s="43">
        <v>832.42</v>
      </c>
      <c r="K23" s="43">
        <v>803.75</v>
      </c>
      <c r="L23" s="9">
        <v>50.57</v>
      </c>
      <c r="M23" s="10">
        <v>43.6</v>
      </c>
      <c r="N23" s="10">
        <v>38</v>
      </c>
      <c r="O23" s="10">
        <v>44.21</v>
      </c>
      <c r="P23" s="10">
        <v>4.67</v>
      </c>
      <c r="Q23" s="10">
        <v>66.26</v>
      </c>
      <c r="R23" s="10">
        <v>74.31</v>
      </c>
      <c r="S23" s="10">
        <v>86.56</v>
      </c>
      <c r="T23" s="10">
        <v>128.65</v>
      </c>
      <c r="U23" s="10">
        <v>31.81</v>
      </c>
      <c r="V23" s="10">
        <v>117.41</v>
      </c>
      <c r="W23" s="17">
        <v>41.32</v>
      </c>
      <c r="X23" s="50">
        <f t="shared" si="4"/>
        <v>727.37</v>
      </c>
      <c r="Y23" s="77">
        <f t="shared" si="5"/>
        <v>15919.869999999995</v>
      </c>
    </row>
    <row r="24" spans="1:25" ht="33" customHeight="1" thickBot="1">
      <c r="A24" s="36" t="s">
        <v>39</v>
      </c>
      <c r="B24" s="31" t="s">
        <v>65</v>
      </c>
      <c r="C24" s="43">
        <v>1407.05</v>
      </c>
      <c r="D24" s="62">
        <v>6312.55</v>
      </c>
      <c r="E24" s="43">
        <v>6079.6</v>
      </c>
      <c r="F24" s="43">
        <v>8255.77</v>
      </c>
      <c r="G24" s="62">
        <v>7000.33</v>
      </c>
      <c r="H24" s="43">
        <v>8959.85</v>
      </c>
      <c r="I24" s="43">
        <v>7794.61</v>
      </c>
      <c r="J24" s="43">
        <v>8210.14</v>
      </c>
      <c r="K24" s="43">
        <v>8960.18</v>
      </c>
      <c r="L24" s="9">
        <f>31.57+305.84+376.72</f>
        <v>714.13</v>
      </c>
      <c r="M24" s="10">
        <f>29.75+426.13+365.19</f>
        <v>821.0699999999999</v>
      </c>
      <c r="N24" s="10">
        <f>380.87+25.88+284.11</f>
        <v>690.86</v>
      </c>
      <c r="O24" s="10">
        <f>27.67+314.11+1009.27</f>
        <v>1351.05</v>
      </c>
      <c r="P24" s="10">
        <f>27.01+346.84+273.54</f>
        <v>647.39</v>
      </c>
      <c r="Q24" s="10">
        <f>31.4+241.4+484.34</f>
        <v>757.14</v>
      </c>
      <c r="R24" s="10">
        <f>30.18+408.85+220.58</f>
        <v>659.61</v>
      </c>
      <c r="S24" s="10">
        <f>27.65+251.33+351.63</f>
        <v>630.61</v>
      </c>
      <c r="T24" s="10">
        <f>20.12+223.52+320.18</f>
        <v>563.82</v>
      </c>
      <c r="U24" s="10">
        <f>20.4+358.05+909.8</f>
        <v>1288.25</v>
      </c>
      <c r="V24" s="10">
        <f>22.55+225.15+234.32</f>
        <v>482.02</v>
      </c>
      <c r="W24" s="17">
        <f>22.5+680.91+393.31</f>
        <v>1096.72</v>
      </c>
      <c r="X24" s="50">
        <f t="shared" si="4"/>
        <v>9702.669999999998</v>
      </c>
      <c r="Y24" s="77">
        <f t="shared" si="5"/>
        <v>72682.75000000001</v>
      </c>
    </row>
    <row r="25" spans="1:25" ht="15.75" customHeight="1" thickBot="1">
      <c r="A25" s="36" t="s">
        <v>55</v>
      </c>
      <c r="B25" s="31" t="s">
        <v>8</v>
      </c>
      <c r="C25" s="43">
        <v>32119.47</v>
      </c>
      <c r="D25" s="62">
        <v>60604.09</v>
      </c>
      <c r="E25" s="43">
        <v>76364.53</v>
      </c>
      <c r="F25" s="43">
        <v>80478.73</v>
      </c>
      <c r="G25" s="62">
        <v>82432.31</v>
      </c>
      <c r="H25" s="43">
        <v>92017.47</v>
      </c>
      <c r="I25" s="43">
        <v>82949.9</v>
      </c>
      <c r="J25" s="43">
        <v>88282.58</v>
      </c>
      <c r="K25" s="43">
        <v>93966.31</v>
      </c>
      <c r="L25" s="9">
        <f>14479.72-5838.67</f>
        <v>8641.05</v>
      </c>
      <c r="M25" s="10">
        <f>23275.16-13183.33</f>
        <v>10091.83</v>
      </c>
      <c r="N25" s="10">
        <f>10180.41-2044.35</f>
        <v>8136.0599999999995</v>
      </c>
      <c r="O25" s="10">
        <f>36609.79-23804.93</f>
        <v>12804.86</v>
      </c>
      <c r="P25" s="10">
        <f>12440.5-3224.46</f>
        <v>9216.04</v>
      </c>
      <c r="Q25" s="10">
        <f>11426.66-3038.04</f>
        <v>8388.619999999999</v>
      </c>
      <c r="R25" s="10">
        <f>17622.48-8899.05</f>
        <v>8723.43</v>
      </c>
      <c r="S25" s="10">
        <f>10545.53-2156.18</f>
        <v>8389.35</v>
      </c>
      <c r="T25" s="10">
        <f>11453.07-3031.9</f>
        <v>8421.17</v>
      </c>
      <c r="U25" s="10">
        <f>11641.42-2969.75</f>
        <v>8671.67</v>
      </c>
      <c r="V25" s="10">
        <f>10441.48-1742.06</f>
        <v>8699.42</v>
      </c>
      <c r="W25" s="17">
        <f>11415.63-2793.14</f>
        <v>8622.49</v>
      </c>
      <c r="X25" s="50">
        <f t="shared" si="4"/>
        <v>108805.98999999999</v>
      </c>
      <c r="Y25" s="77">
        <f t="shared" si="5"/>
        <v>798021.3800000001</v>
      </c>
    </row>
    <row r="26" spans="1:25" ht="13.5" customHeight="1" thickBot="1">
      <c r="A26" s="36" t="s">
        <v>56</v>
      </c>
      <c r="B26" s="32" t="s">
        <v>3</v>
      </c>
      <c r="C26" s="44">
        <v>4959.86</v>
      </c>
      <c r="D26" s="63">
        <v>9808.91</v>
      </c>
      <c r="E26" s="44">
        <v>6869.33</v>
      </c>
      <c r="F26" s="44">
        <v>6066.88</v>
      </c>
      <c r="G26" s="63">
        <v>5932.25</v>
      </c>
      <c r="H26" s="44">
        <v>6031.67</v>
      </c>
      <c r="I26" s="44">
        <v>12914.08</v>
      </c>
      <c r="J26" s="44">
        <v>7001.08</v>
      </c>
      <c r="K26" s="44">
        <v>6576.21</v>
      </c>
      <c r="L26" s="11">
        <f>5.12+548.55</f>
        <v>553.67</v>
      </c>
      <c r="M26" s="12">
        <f>4.81+483.08</f>
        <v>487.89</v>
      </c>
      <c r="N26" s="12">
        <f>4.64+574.66</f>
        <v>579.3</v>
      </c>
      <c r="O26" s="12">
        <f>4.25+417.71</f>
        <v>421.96</v>
      </c>
      <c r="P26" s="12">
        <f>4.6+461.03</f>
        <v>465.63</v>
      </c>
      <c r="Q26" s="12">
        <f>4.41+441.24</f>
        <v>445.65000000000003</v>
      </c>
      <c r="R26" s="12">
        <f>4.37+438.04</f>
        <v>442.41</v>
      </c>
      <c r="S26" s="12">
        <f>9.78+497.58</f>
        <v>507.35999999999996</v>
      </c>
      <c r="T26" s="12">
        <f>4.5+424.56</f>
        <v>429.06</v>
      </c>
      <c r="U26" s="12">
        <f>6.02+571.16</f>
        <v>577.18</v>
      </c>
      <c r="V26" s="12">
        <f>4.67+439.84</f>
        <v>444.51</v>
      </c>
      <c r="W26" s="19">
        <f>5.02+473.12</f>
        <v>478.14</v>
      </c>
      <c r="X26" s="50">
        <f t="shared" si="4"/>
        <v>5832.760000000001</v>
      </c>
      <c r="Y26" s="77">
        <f t="shared" si="5"/>
        <v>71993.03</v>
      </c>
    </row>
    <row r="27" spans="1:25" ht="13.5" customHeight="1" thickBot="1">
      <c r="A27" s="36"/>
      <c r="B27" s="39" t="s">
        <v>59</v>
      </c>
      <c r="C27" s="65"/>
      <c r="D27" s="66"/>
      <c r="E27" s="65"/>
      <c r="F27" s="65"/>
      <c r="G27" s="72">
        <f>G8*5%</f>
        <v>8305.76</v>
      </c>
      <c r="H27" s="68">
        <f>H8*5%</f>
        <v>8304.84</v>
      </c>
      <c r="I27" s="68">
        <f>I8*5%</f>
        <v>8304.84</v>
      </c>
      <c r="J27" s="68">
        <f>J8*5%</f>
        <v>8135.93</v>
      </c>
      <c r="K27" s="68">
        <f>K8*5%</f>
        <v>8109.478</v>
      </c>
      <c r="L27" s="67">
        <f>(L8+L9+L10)*5%</f>
        <v>655.4585</v>
      </c>
      <c r="M27" s="67">
        <f aca="true" t="shared" si="6" ref="M27:W27">(M8+M9+M10)*5%</f>
        <v>655.4585</v>
      </c>
      <c r="N27" s="67">
        <f t="shared" si="6"/>
        <v>655.4585</v>
      </c>
      <c r="O27" s="67">
        <f t="shared" si="6"/>
        <v>655.4585</v>
      </c>
      <c r="P27" s="67">
        <f t="shared" si="6"/>
        <v>655.4585</v>
      </c>
      <c r="Q27" s="67">
        <f t="shared" si="6"/>
        <v>655.4585</v>
      </c>
      <c r="R27" s="67">
        <f t="shared" si="6"/>
        <v>655.932</v>
      </c>
      <c r="S27" s="67">
        <f t="shared" si="6"/>
        <v>655.932</v>
      </c>
      <c r="T27" s="67">
        <f t="shared" si="6"/>
        <v>655.932</v>
      </c>
      <c r="U27" s="67">
        <f t="shared" si="6"/>
        <v>655.932</v>
      </c>
      <c r="V27" s="67">
        <f t="shared" si="6"/>
        <v>655.932</v>
      </c>
      <c r="W27" s="67">
        <f t="shared" si="6"/>
        <v>655.932</v>
      </c>
      <c r="X27" s="68">
        <f t="shared" si="4"/>
        <v>7868.342999999998</v>
      </c>
      <c r="Y27" s="78"/>
    </row>
    <row r="28" spans="1:25" ht="13.5" customHeight="1" thickBot="1">
      <c r="A28" s="36" t="s">
        <v>40</v>
      </c>
      <c r="B28" s="55" t="s">
        <v>52</v>
      </c>
      <c r="C28" s="56"/>
      <c r="D28" s="64"/>
      <c r="E28" s="56"/>
      <c r="F28" s="56"/>
      <c r="G28" s="64"/>
      <c r="H28" s="73"/>
      <c r="I28" s="56"/>
      <c r="J28" s="79">
        <f aca="true" t="shared" si="7" ref="J28:W28">SUM(J8+J9+J10-J11)-J27</f>
        <v>10664.660000000054</v>
      </c>
      <c r="K28" s="79">
        <f>SUM(K8+K9+K10-K11)-K27</f>
        <v>-9778.757999999998</v>
      </c>
      <c r="L28" s="69">
        <f t="shared" si="7"/>
        <v>-2026.008500000001</v>
      </c>
      <c r="M28" s="69">
        <f t="shared" si="7"/>
        <v>-10821.448500000002</v>
      </c>
      <c r="N28" s="69">
        <f t="shared" si="7"/>
        <v>2273.3014999999987</v>
      </c>
      <c r="O28" s="69">
        <f t="shared" si="7"/>
        <v>-24156.078500000003</v>
      </c>
      <c r="P28" s="69">
        <f t="shared" si="7"/>
        <v>13.211499999998296</v>
      </c>
      <c r="Q28" s="69">
        <f t="shared" si="7"/>
        <v>1027.0515000000003</v>
      </c>
      <c r="R28" s="69">
        <f t="shared" si="7"/>
        <v>-5159.772</v>
      </c>
      <c r="S28" s="69">
        <f t="shared" si="7"/>
        <v>1917.1779999999987</v>
      </c>
      <c r="T28" s="69">
        <f t="shared" si="7"/>
        <v>1009.6379999999997</v>
      </c>
      <c r="U28" s="69">
        <f t="shared" si="7"/>
        <v>821.2879999999993</v>
      </c>
      <c r="V28" s="69">
        <f t="shared" si="7"/>
        <v>2021.2279999999998</v>
      </c>
      <c r="W28" s="69">
        <f t="shared" si="7"/>
        <v>1047.0780000000002</v>
      </c>
      <c r="X28" s="68">
        <f t="shared" si="4"/>
        <v>-32033.333000000006</v>
      </c>
      <c r="Y28" s="78"/>
    </row>
    <row r="29" spans="1:25" ht="21.75" customHeight="1" thickBot="1">
      <c r="A29" s="80" t="s">
        <v>41</v>
      </c>
      <c r="B29" s="88" t="s">
        <v>22</v>
      </c>
      <c r="C29" s="89">
        <v>29942.43</v>
      </c>
      <c r="D29" s="90">
        <f>SUM(D8-D11)</f>
        <v>17716.72999999998</v>
      </c>
      <c r="E29" s="91">
        <f>SUM(E8-E11)</f>
        <v>28843.459999999992</v>
      </c>
      <c r="F29" s="91">
        <f>SUM(F8-F11)</f>
        <v>-7398.359999999986</v>
      </c>
      <c r="G29" s="92">
        <f>SUM(G8-G11)-G27</f>
        <v>17882.299999999996</v>
      </c>
      <c r="H29" s="93">
        <f>SUM(H8-H11)-H27</f>
        <v>-1986.7900000000118</v>
      </c>
      <c r="I29" s="94">
        <f>SUM(I8-I11)-I27</f>
        <v>-9910.039999999983</v>
      </c>
      <c r="J29" s="94">
        <f>SUM(J8+J9+J10-J11)-J27</f>
        <v>10664.660000000054</v>
      </c>
      <c r="K29" s="94">
        <f>SUM(K8+K9+K10-K11)-K27</f>
        <v>-9778.757999999998</v>
      </c>
      <c r="L29" s="95">
        <f>SUM(L8+L9+L10-L11)-L27</f>
        <v>-2026.008500000001</v>
      </c>
      <c r="M29" s="96">
        <f>SUM(M28+L29)</f>
        <v>-12847.457000000004</v>
      </c>
      <c r="N29" s="96">
        <f aca="true" t="shared" si="8" ref="N29:W29">SUM(N28+M29)</f>
        <v>-10574.155500000004</v>
      </c>
      <c r="O29" s="96">
        <f t="shared" si="8"/>
        <v>-34730.23400000001</v>
      </c>
      <c r="P29" s="96">
        <f t="shared" si="8"/>
        <v>-34717.022500000014</v>
      </c>
      <c r="Q29" s="96">
        <f t="shared" si="8"/>
        <v>-33689.97100000001</v>
      </c>
      <c r="R29" s="96">
        <f t="shared" si="8"/>
        <v>-38849.74300000001</v>
      </c>
      <c r="S29" s="96">
        <f t="shared" si="8"/>
        <v>-36932.56500000001</v>
      </c>
      <c r="T29" s="96">
        <f t="shared" si="8"/>
        <v>-35922.92700000001</v>
      </c>
      <c r="U29" s="96">
        <f t="shared" si="8"/>
        <v>-35101.63900000001</v>
      </c>
      <c r="V29" s="96">
        <f t="shared" si="8"/>
        <v>-33080.41100000001</v>
      </c>
      <c r="W29" s="96">
        <f t="shared" si="8"/>
        <v>-32033.333000000006</v>
      </c>
      <c r="X29" s="91"/>
      <c r="Y29" s="97"/>
    </row>
    <row r="30" spans="1:25" ht="24" customHeight="1" thickBot="1">
      <c r="A30" s="36" t="s">
        <v>42</v>
      </c>
      <c r="B30" s="39" t="s">
        <v>23</v>
      </c>
      <c r="C30" s="39">
        <v>29942.43</v>
      </c>
      <c r="D30" s="18">
        <f>SUM(D8-D11,C30)</f>
        <v>47659.15999999998</v>
      </c>
      <c r="E30" s="50">
        <f>SUM(E8-E11,D30)</f>
        <v>76502.61999999997</v>
      </c>
      <c r="F30" s="50">
        <f>SUM(F8-F11,E30)</f>
        <v>69104.25999999998</v>
      </c>
      <c r="G30" s="72">
        <f aca="true" t="shared" si="9" ref="G30:L30">SUM(G29+F30)</f>
        <v>86986.55999999997</v>
      </c>
      <c r="H30" s="68">
        <f t="shared" si="9"/>
        <v>84999.76999999996</v>
      </c>
      <c r="I30" s="68">
        <f t="shared" si="9"/>
        <v>75089.72999999998</v>
      </c>
      <c r="J30" s="68">
        <f t="shared" si="9"/>
        <v>85754.39000000004</v>
      </c>
      <c r="K30" s="68">
        <f t="shared" si="9"/>
        <v>75975.63200000004</v>
      </c>
      <c r="L30" s="68">
        <f t="shared" si="9"/>
        <v>73949.62350000005</v>
      </c>
      <c r="M30" s="70">
        <f>SUM(M28+L30)</f>
        <v>63128.17500000005</v>
      </c>
      <c r="N30" s="70">
        <f aca="true" t="shared" si="10" ref="N30:W30">SUM(N28+M30)</f>
        <v>65401.47650000005</v>
      </c>
      <c r="O30" s="70">
        <f t="shared" si="10"/>
        <v>41245.398000000045</v>
      </c>
      <c r="P30" s="70">
        <f t="shared" si="10"/>
        <v>41258.60950000004</v>
      </c>
      <c r="Q30" s="70">
        <f t="shared" si="10"/>
        <v>42285.661000000044</v>
      </c>
      <c r="R30" s="70">
        <f t="shared" si="10"/>
        <v>37125.88900000005</v>
      </c>
      <c r="S30" s="70">
        <f t="shared" si="10"/>
        <v>39043.06700000005</v>
      </c>
      <c r="T30" s="70">
        <f t="shared" si="10"/>
        <v>40052.705000000045</v>
      </c>
      <c r="U30" s="70">
        <f t="shared" si="10"/>
        <v>40873.993000000046</v>
      </c>
      <c r="V30" s="70">
        <f t="shared" si="10"/>
        <v>42895.22100000005</v>
      </c>
      <c r="W30" s="70">
        <f t="shared" si="10"/>
        <v>43942.29900000005</v>
      </c>
      <c r="X30" s="50"/>
      <c r="Y30" s="45"/>
    </row>
    <row r="31" spans="1:25" ht="9" customHeight="1" hidden="1" thickBot="1">
      <c r="A31" s="36" t="s">
        <v>43</v>
      </c>
      <c r="B31" s="39" t="s">
        <v>7</v>
      </c>
      <c r="C31" s="40"/>
      <c r="D31" s="40"/>
      <c r="E31" s="58"/>
      <c r="F31" s="58"/>
      <c r="G31" s="58"/>
      <c r="H31" s="58"/>
      <c r="I31" s="58"/>
      <c r="J31" s="58"/>
      <c r="K31" s="58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0"/>
      <c r="Y31" s="46"/>
    </row>
    <row r="32" spans="1:25" ht="15" customHeight="1" hidden="1" thickBot="1">
      <c r="A32" s="37" t="s">
        <v>44</v>
      </c>
      <c r="B32" s="33" t="s">
        <v>24</v>
      </c>
      <c r="C32" s="40"/>
      <c r="D32" s="40"/>
      <c r="E32" s="58"/>
      <c r="F32" s="58"/>
      <c r="G32" s="58"/>
      <c r="H32" s="58"/>
      <c r="I32" s="58"/>
      <c r="J32" s="58"/>
      <c r="K32" s="58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51"/>
      <c r="Y32" s="47"/>
    </row>
    <row r="33" spans="1:25" ht="24" customHeight="1" hidden="1" thickBot="1">
      <c r="A33" s="37" t="s">
        <v>46</v>
      </c>
      <c r="B33" s="34" t="s">
        <v>47</v>
      </c>
      <c r="C33" s="41"/>
      <c r="D33" s="41"/>
      <c r="E33" s="59"/>
      <c r="F33" s="59"/>
      <c r="G33" s="59"/>
      <c r="H33" s="59"/>
      <c r="I33" s="59"/>
      <c r="J33" s="59"/>
      <c r="K33" s="5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SUM(W29-W31)</f>
        <v>-32033.333000000006</v>
      </c>
      <c r="X33" s="52"/>
      <c r="Y33" s="48"/>
    </row>
    <row r="34" spans="1:25" ht="23.25" customHeight="1" hidden="1" thickBot="1">
      <c r="A34" s="54" t="s">
        <v>51</v>
      </c>
      <c r="B34" s="34" t="s">
        <v>25</v>
      </c>
      <c r="C34" s="41"/>
      <c r="D34" s="41"/>
      <c r="E34" s="59"/>
      <c r="F34" s="59"/>
      <c r="G34" s="59"/>
      <c r="H34" s="59"/>
      <c r="I34" s="59"/>
      <c r="J34" s="59"/>
      <c r="K34" s="5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SUM(W30-W31)</f>
        <v>43942.29900000005</v>
      </c>
      <c r="X34" s="52"/>
      <c r="Y34" s="48"/>
    </row>
    <row r="35" spans="3:25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2.75">
      <c r="B36" t="s">
        <v>64</v>
      </c>
    </row>
    <row r="37" ht="12.75" hidden="1"/>
    <row r="38" ht="12.75" hidden="1"/>
    <row r="39" ht="12.75" hidden="1"/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2020-02-21T06:00:38Z</cp:lastPrinted>
  <dcterms:created xsi:type="dcterms:W3CDTF">2011-06-16T11:06:26Z</dcterms:created>
  <dcterms:modified xsi:type="dcterms:W3CDTF">2020-02-21T06:00:41Z</dcterms:modified>
  <cp:category/>
  <cp:version/>
  <cp:contentType/>
  <cp:contentStatus/>
</cp:coreProperties>
</file>