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<sst xmlns="http://schemas.openxmlformats.org/spreadsheetml/2006/main" count="81" uniqueCount="81">
  <si>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</si>
  <si>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</si>
  <si>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</si>
  <si>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</si>
  <si>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</si>
  <si>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</si>
  <si>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</si>
  <si>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</si>
  <si>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</si>
  <si>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</si>
  <si>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</si>
  <si>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</si>
  <si>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</si>
  <si>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</si>
  <si>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</si>
  <si>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</si>
  <si>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</si>
  <si>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</si>
  <si>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</si>
  <si>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</si>
  <si>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</si>
  <si>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</si>
  <si>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</si>
  <si>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</si>
  <si>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</si>
  <si>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</si>
  <si>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</si>
  <si>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</si>
  <si>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</si>
  <si>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</si>
  <si>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</si>
  <si>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</si>
  <si>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</si>
  <si>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</si>
  <si>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</si>
  <si>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</si>
  <si>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</si>
  <si>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</si>
  <si>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</si>
  <si>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</si>
  <si>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</si>
  <si>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</si>
  <si>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</si>
  <si>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</si>
  <si>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</si>
  <si>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</si>
  <si>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</si>
  <si>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</si>
  <si>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</si>
  <si>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Попова д.6</t>
  </si>
  <si>
    <t>Итого  за 2011 г</t>
  </si>
  <si>
    <t>Проверка дымовых каналов</t>
  </si>
  <si>
    <t>11</t>
  </si>
  <si>
    <t>Результат за месяц</t>
  </si>
  <si>
    <t>Итого  за 2012 г</t>
  </si>
  <si>
    <t>Благоустройство территории</t>
  </si>
  <si>
    <t>4.13</t>
  </si>
  <si>
    <t>4.14</t>
  </si>
  <si>
    <t>Итого  за 2013 г</t>
  </si>
  <si>
    <t>Итого  за 2014 г</t>
  </si>
  <si>
    <t>рентабельность 5%</t>
  </si>
  <si>
    <t xml:space="preserve">Материалы </t>
  </si>
  <si>
    <t>Итого  за 2015 г</t>
  </si>
  <si>
    <t>Услуги сторонних орган.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</si>
  <si>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</si>
  <si>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</si>
  <si>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</si>
  <si>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 за 2016 г</t>
  </si>
  <si>
    <t>Итого 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</si>
  <si>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</si>
  <si>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</si>
  <si>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</si>
  <si>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</si>
  <si>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</si>
  <si>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</si>
  <si>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 за 2018 г</t>
  </si>
  <si>
    <t>Итого  за 2019 г</t>
  </si>
  <si>
    <t>Всего за 2009-2019</t>
  </si>
  <si>
    <t>Вывоз ТБО (Утилизация)</t>
  </si>
  <si>
    <t>Дом по ул.Попова д.6 вступил в ООО "Наш дом" с ноября 2009 года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</si>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</sst>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5" fillId="0" borderId="37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2" fontId="21" fillId="0" borderId="35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0" fontId="25" fillId="0" borderId="38" xfId="0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/>
    </xf>
    <xf numFmtId="2" fontId="26" fillId="0" borderId="48" xfId="0" applyNumberFormat="1" applyFont="1" applyBorder="1" applyAlignment="1">
      <alignment/>
    </xf>
    <xf numFmtId="0" fontId="26" fillId="0" borderId="32" xfId="0" applyFont="1" applyBorder="1" applyAlignment="1">
      <alignment/>
    </xf>
    <xf numFmtId="2" fontId="26" fillId="0" borderId="35" xfId="0" applyNumberFormat="1" applyFont="1" applyBorder="1" applyAlignment="1">
      <alignment/>
    </xf>
    <xf numFmtId="0" fontId="0" fillId="0" borderId="0" xfId="0" applyBorder="1" applyAlignment="1">
      <alignment/>
    </xf>
    <xf numFmtId="0" fontId="26" fillId="0" borderId="48" xfId="0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35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2" fontId="27" fillId="0" borderId="35" xfId="0" applyNumberFormat="1" applyFont="1" applyBorder="1" applyAlignment="1">
      <alignment/>
    </xf>
    <xf numFmtId="0" fontId="22" fillId="0" borderId="3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7">
      <selection activeCell="B1" sqref="B1:O1"/>
    </sheetView>
  </sheetViews>
  <sheetFormatPr defaultColWidth="9.00390625" defaultRowHeight="12.75"/>
  <cols>
    <col min="1" max="1" width="3.875" style="26" customWidth="1"/>
    <col min="2" max="2" width="19.25390625" style="0" customWidth="1"/>
    <col min="3" max="3" width="9.125" style="0" hidden="1" customWidth="1"/>
    <col min="4" max="4" width="9.00390625" style="0" hidden="1" customWidth="1"/>
    <col min="5" max="7" width="9.125" style="0" hidden="1" customWidth="1"/>
    <col min="8" max="8" width="9.375" style="0" hidden="1" customWidth="1"/>
    <col min="9" max="9" width="9.125" style="0" hidden="1" customWidth="1"/>
    <col min="10" max="10" width="8.875" style="0" hidden="1" customWidth="1"/>
    <col min="11" max="11" width="8.25390625" style="0" hidden="1" customWidth="1"/>
    <col min="12" max="12" width="8.875" style="0" hidden="1" customWidth="1"/>
    <col min="13" max="13" width="8.75390625" style="0" customWidth="1"/>
    <col min="14" max="14" width="9.25390625" style="0" customWidth="1"/>
    <col min="15" max="15" width="8.125" style="0" customWidth="1"/>
    <col min="16" max="18" width="8.375" style="0" customWidth="1"/>
    <col min="19" max="19" width="8.625" style="0" customWidth="1"/>
    <col min="20" max="20" width="8.125" style="0" customWidth="1"/>
    <col min="21" max="21" width="8.375" style="0" customWidth="1"/>
    <col min="22" max="22" width="8.875" style="0" customWidth="1"/>
    <col min="23" max="23" width="8.25390625" style="0" customWidth="1"/>
    <col min="24" max="24" width="8.00390625" style="0" customWidth="1"/>
    <col min="25" max="25" width="9.375" style="0" customWidth="1"/>
    <col min="26" max="26" width="10.25390625" style="0" customWidth="1"/>
  </cols>
  <sheetData>
    <row r="1" spans="2:31" ht="12.75" customHeight="1">
      <c r="B1" s="102" t="s">
        <v>80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2" t="s">
        <v>79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3"/>
      <c r="Y2" s="103"/>
      <c r="Z2" s="4"/>
      <c r="AA2" s="4"/>
      <c r="AB2" s="4"/>
      <c r="AC2" s="4"/>
      <c r="AD2" s="4"/>
      <c r="AE2" s="4"/>
    </row>
    <row r="3" spans="2:31" ht="12.75" customHeight="1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3"/>
      <c r="AB3" s="3"/>
      <c r="AC3" s="3"/>
      <c r="AD3" s="3"/>
      <c r="AE3" s="3"/>
    </row>
    <row r="4" spans="2:31" ht="12.75" customHeight="1">
      <c r="B4" s="100" t="s">
        <v>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2"/>
      <c r="AC4" s="2"/>
      <c r="AD4" s="2"/>
      <c r="AE4" s="2"/>
    </row>
    <row r="5" spans="2:31" ht="12" customHeight="1" thickBot="1">
      <c r="B5" s="100" t="s">
        <v>49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0" customHeight="1" thickBot="1">
      <c r="A7" s="35" t="s">
        <v>26</v>
      </c>
      <c r="B7" s="27" t="s">
        <v>6</v>
      </c>
      <c r="C7" s="38" t="s">
        <v>45</v>
      </c>
      <c r="D7" s="42" t="s">
        <v>46</v>
      </c>
      <c r="E7" s="71" t="s">
        <v>50</v>
      </c>
      <c r="F7" s="56" t="s">
        <v>54</v>
      </c>
      <c r="G7" s="56" t="s">
        <v>58</v>
      </c>
      <c r="H7" s="56" t="s">
        <v>59</v>
      </c>
      <c r="I7" s="56" t="s">
        <v>62</v>
      </c>
      <c r="J7" s="56" t="s">
        <v>67</v>
      </c>
      <c r="K7" s="56" t="s">
        <v>68</v>
      </c>
      <c r="L7" s="56" t="s">
        <v>75</v>
      </c>
      <c r="M7" s="56" t="s">
        <v>10</v>
      </c>
      <c r="N7" s="56" t="s">
        <v>11</v>
      </c>
      <c r="O7" s="56" t="s">
        <v>12</v>
      </c>
      <c r="P7" s="6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6" t="s">
        <v>76</v>
      </c>
      <c r="Z7" s="52" t="s">
        <v>77</v>
      </c>
      <c r="AA7" s="1"/>
      <c r="AB7" s="1"/>
      <c r="AC7" s="1"/>
      <c r="AD7" s="1"/>
      <c r="AE7" s="1"/>
    </row>
    <row r="8" spans="1:26" ht="13.5" thickBot="1">
      <c r="A8" s="36" t="s">
        <v>27</v>
      </c>
      <c r="B8" s="28" t="s">
        <v>1</v>
      </c>
      <c r="C8" s="65">
        <v>26028.64</v>
      </c>
      <c r="D8" s="66">
        <v>156159.88</v>
      </c>
      <c r="E8" s="72">
        <v>166157.5</v>
      </c>
      <c r="F8" s="66">
        <v>161946.68</v>
      </c>
      <c r="G8" s="79">
        <v>165704.88</v>
      </c>
      <c r="H8" s="79">
        <v>165532.84</v>
      </c>
      <c r="I8" s="79">
        <v>167500.6</v>
      </c>
      <c r="J8" s="79">
        <v>166260.84</v>
      </c>
      <c r="K8" s="79">
        <v>148200.96</v>
      </c>
      <c r="L8" s="79">
        <v>148287.44</v>
      </c>
      <c r="M8" s="57">
        <v>11566.14</v>
      </c>
      <c r="N8" s="57">
        <v>11566.14</v>
      </c>
      <c r="O8" s="57">
        <v>11566.14</v>
      </c>
      <c r="P8" s="57">
        <v>11566.14</v>
      </c>
      <c r="Q8" s="57">
        <v>11566.14</v>
      </c>
      <c r="R8" s="57">
        <v>11566.14</v>
      </c>
      <c r="S8" s="57">
        <v>11566.14</v>
      </c>
      <c r="T8" s="57">
        <v>11566.14</v>
      </c>
      <c r="U8" s="57">
        <v>11566.14</v>
      </c>
      <c r="V8" s="57">
        <v>11566.14</v>
      </c>
      <c r="W8" s="57">
        <v>11566.14</v>
      </c>
      <c r="X8" s="57">
        <v>11566.14</v>
      </c>
      <c r="Y8" s="57">
        <f>SUM(M8:X8)</f>
        <v>138793.68</v>
      </c>
      <c r="Z8" s="85">
        <f>SUM(C8:X8)</f>
        <v>1610573.9399999988</v>
      </c>
    </row>
    <row r="9" spans="1:26" ht="13.5" thickBot="1">
      <c r="A9" s="36"/>
      <c r="B9" s="28" t="s">
        <v>69</v>
      </c>
      <c r="C9" s="65"/>
      <c r="D9" s="79"/>
      <c r="E9" s="72"/>
      <c r="F9" s="79"/>
      <c r="G9" s="79"/>
      <c r="H9" s="79"/>
      <c r="I9" s="79"/>
      <c r="J9" s="79"/>
      <c r="K9" s="79">
        <v>18085.5</v>
      </c>
      <c r="L9" s="79">
        <v>14767.27</v>
      </c>
      <c r="M9" s="57">
        <f aca="true" t="shared" si="0" ref="M9:R9">83.63+74.06</f>
        <v>157.69</v>
      </c>
      <c r="N9" s="57">
        <f t="shared" si="0"/>
        <v>157.69</v>
      </c>
      <c r="O9" s="57">
        <f t="shared" si="0"/>
        <v>157.69</v>
      </c>
      <c r="P9" s="57">
        <f t="shared" si="0"/>
        <v>157.69</v>
      </c>
      <c r="Q9" s="57">
        <f t="shared" si="0"/>
        <v>157.69</v>
      </c>
      <c r="R9" s="57">
        <f t="shared" si="0"/>
        <v>157.69</v>
      </c>
      <c r="S9" s="8">
        <f aca="true" t="shared" si="1" ref="S9:X9">85.19+82.39</f>
        <v>167.57999999999998</v>
      </c>
      <c r="T9" s="8">
        <f t="shared" si="1"/>
        <v>167.57999999999998</v>
      </c>
      <c r="U9" s="8">
        <f t="shared" si="1"/>
        <v>167.57999999999998</v>
      </c>
      <c r="V9" s="8">
        <f t="shared" si="1"/>
        <v>167.57999999999998</v>
      </c>
      <c r="W9" s="8">
        <f t="shared" si="1"/>
        <v>167.57999999999998</v>
      </c>
      <c r="X9" s="8">
        <f t="shared" si="1"/>
        <v>167.57999999999998</v>
      </c>
      <c r="Y9" s="57">
        <f>SUM(M9:X9)</f>
        <v>1951.6199999999997</v>
      </c>
      <c r="Z9" s="85">
        <f>SUM(C9:X9)</f>
        <v>34804.39000000003</v>
      </c>
    </row>
    <row r="10" spans="1:26" ht="13.5" thickBot="1">
      <c r="A10" s="36"/>
      <c r="B10" s="28" t="s">
        <v>70</v>
      </c>
      <c r="C10" s="65"/>
      <c r="D10" s="79"/>
      <c r="E10" s="72"/>
      <c r="F10" s="79"/>
      <c r="G10" s="79"/>
      <c r="H10" s="79"/>
      <c r="I10" s="79"/>
      <c r="J10" s="79"/>
      <c r="K10" s="79">
        <v>19519.57</v>
      </c>
      <c r="L10" s="79">
        <v>20348.58</v>
      </c>
      <c r="M10" s="57">
        <v>1611.02</v>
      </c>
      <c r="N10" s="57">
        <v>1611.02</v>
      </c>
      <c r="O10" s="57">
        <v>1611.02</v>
      </c>
      <c r="P10" s="57">
        <v>1611.02</v>
      </c>
      <c r="Q10" s="57">
        <v>1611.02</v>
      </c>
      <c r="R10" s="57">
        <v>1611.02</v>
      </c>
      <c r="S10" s="8">
        <v>1620.6</v>
      </c>
      <c r="T10" s="8">
        <v>1620.6</v>
      </c>
      <c r="U10" s="8">
        <v>1620.6</v>
      </c>
      <c r="V10" s="8">
        <v>1620.6</v>
      </c>
      <c r="W10" s="8">
        <v>1620.6</v>
      </c>
      <c r="X10" s="8">
        <v>1620.6</v>
      </c>
      <c r="Y10" s="57">
        <f>SUM(M10:X10)</f>
        <v>19389.72</v>
      </c>
      <c r="Z10" s="88">
        <f>SUM(C10:X10)</f>
        <v>59257.86999999997</v>
      </c>
    </row>
    <row r="11" spans="1:26" s="95" customFormat="1" ht="13.5" thickBot="1">
      <c r="A11" s="89" t="s">
        <v>28</v>
      </c>
      <c r="B11" s="90" t="s">
        <v>2</v>
      </c>
      <c r="C11" s="91">
        <v>14049.7</v>
      </c>
      <c r="D11" s="92">
        <f aca="true" t="shared" si="2" ref="D11:M11">SUM(D12:D26)</f>
        <v>117006.45000000001</v>
      </c>
      <c r="E11" s="91">
        <f t="shared" si="2"/>
        <v>152444.38</v>
      </c>
      <c r="F11" s="92">
        <f t="shared" si="2"/>
        <v>131526.06</v>
      </c>
      <c r="G11" s="92">
        <f t="shared" si="2"/>
        <v>165782.29000000004</v>
      </c>
      <c r="H11" s="92">
        <f t="shared" si="2"/>
        <v>144406.16999999998</v>
      </c>
      <c r="I11" s="92">
        <f t="shared" si="2"/>
        <v>161685.55</v>
      </c>
      <c r="J11" s="92">
        <f t="shared" si="2"/>
        <v>160113.47999999998</v>
      </c>
      <c r="K11" s="92">
        <f t="shared" si="2"/>
        <v>188639.94</v>
      </c>
      <c r="L11" s="92">
        <f t="shared" si="2"/>
        <v>196464.16</v>
      </c>
      <c r="M11" s="92">
        <f t="shared" si="2"/>
        <v>12043.05</v>
      </c>
      <c r="N11" s="92">
        <f aca="true" t="shared" si="3" ref="N11:X11">SUM(N12:N26)</f>
        <v>13937.07</v>
      </c>
      <c r="O11" s="92">
        <f t="shared" si="3"/>
        <v>9325.050000000001</v>
      </c>
      <c r="P11" s="93">
        <f t="shared" si="3"/>
        <v>10080.05</v>
      </c>
      <c r="Q11" s="93">
        <f t="shared" si="3"/>
        <v>9818.61</v>
      </c>
      <c r="R11" s="93">
        <f t="shared" si="3"/>
        <v>9480.83</v>
      </c>
      <c r="S11" s="93">
        <f t="shared" si="3"/>
        <v>17571.670000000002</v>
      </c>
      <c r="T11" s="93">
        <f t="shared" si="3"/>
        <v>9889.1</v>
      </c>
      <c r="U11" s="93">
        <f t="shared" si="3"/>
        <v>15213.100000000002</v>
      </c>
      <c r="V11" s="93">
        <f t="shared" si="3"/>
        <v>14667.090000000002</v>
      </c>
      <c r="W11" s="93">
        <f t="shared" si="3"/>
        <v>9698.05</v>
      </c>
      <c r="X11" s="91">
        <f t="shared" si="3"/>
        <v>10076.45</v>
      </c>
      <c r="Y11" s="92">
        <f>SUM(M11:X11)</f>
        <v>141800.12000000002</v>
      </c>
      <c r="Z11" s="94">
        <f>SUM(C11:X11)</f>
        <v>1573918.3000000005</v>
      </c>
    </row>
    <row r="12" spans="1:26" ht="13.5" customHeight="1" thickBot="1">
      <c r="A12" s="36" t="s">
        <v>29</v>
      </c>
      <c r="B12" s="30" t="s">
        <v>78</v>
      </c>
      <c r="C12" s="46"/>
      <c r="D12" s="47">
        <v>24892.84</v>
      </c>
      <c r="E12" s="73">
        <v>26624.97</v>
      </c>
      <c r="F12" s="73">
        <v>28484.69</v>
      </c>
      <c r="G12" s="73">
        <v>33528.8</v>
      </c>
      <c r="H12" s="73">
        <v>35580.61</v>
      </c>
      <c r="I12" s="73">
        <v>35948.86</v>
      </c>
      <c r="J12" s="73">
        <v>36844.65</v>
      </c>
      <c r="K12" s="73">
        <v>40177.56</v>
      </c>
      <c r="L12" s="73">
        <v>40461.85</v>
      </c>
      <c r="M12" s="57"/>
      <c r="N12" s="57"/>
      <c r="O12" s="57"/>
      <c r="P12" s="7">
        <v>85.66</v>
      </c>
      <c r="Q12" s="8">
        <v>65.45</v>
      </c>
      <c r="R12" s="8">
        <v>27.08</v>
      </c>
      <c r="S12" s="8">
        <v>71.36</v>
      </c>
      <c r="T12" s="8">
        <v>52.71</v>
      </c>
      <c r="U12" s="8">
        <v>13.21</v>
      </c>
      <c r="V12" s="8">
        <v>47.23</v>
      </c>
      <c r="W12" s="8">
        <v>39.32</v>
      </c>
      <c r="X12" s="16">
        <v>25.86</v>
      </c>
      <c r="Y12" s="58">
        <f aca="true" t="shared" si="4" ref="Y12:Y28">SUM(M12:X12)</f>
        <v>427.88</v>
      </c>
      <c r="Z12" s="86">
        <f>SUM(C12:X12)</f>
        <v>302972.71</v>
      </c>
    </row>
    <row r="13" spans="1:26" ht="12.75" customHeight="1" thickBot="1">
      <c r="A13" s="36" t="s">
        <v>30</v>
      </c>
      <c r="B13" s="31" t="s">
        <v>63</v>
      </c>
      <c r="C13" s="48"/>
      <c r="D13" s="49">
        <v>39259.16</v>
      </c>
      <c r="E13" s="74">
        <v>14664.21</v>
      </c>
      <c r="F13" s="74">
        <v>2960.4</v>
      </c>
      <c r="G13" s="74">
        <v>5849.3</v>
      </c>
      <c r="H13" s="74">
        <v>3200</v>
      </c>
      <c r="I13" s="74">
        <v>6420.05</v>
      </c>
      <c r="J13" s="74">
        <v>7946.55</v>
      </c>
      <c r="K13" s="74">
        <v>4500</v>
      </c>
      <c r="L13" s="74">
        <v>11315</v>
      </c>
      <c r="M13" s="69">
        <v>2000</v>
      </c>
      <c r="N13" s="69">
        <v>3000</v>
      </c>
      <c r="O13" s="69"/>
      <c r="P13" s="9"/>
      <c r="Q13" s="10"/>
      <c r="R13" s="10"/>
      <c r="S13" s="10"/>
      <c r="T13" s="10"/>
      <c r="U13" s="10"/>
      <c r="V13" s="10"/>
      <c r="W13" s="10"/>
      <c r="X13" s="17"/>
      <c r="Y13" s="58">
        <f>SUM(M13:X13)</f>
        <v>5000</v>
      </c>
      <c r="Z13" s="86">
        <f aca="true" t="shared" si="5" ref="Z13:Z26">SUM(C13:X13)</f>
        <v>101114.67000000001</v>
      </c>
    </row>
    <row r="14" spans="1:26" ht="23.25" customHeight="1" thickBot="1">
      <c r="A14" s="36" t="s">
        <v>31</v>
      </c>
      <c r="B14" s="29" t="s">
        <v>4</v>
      </c>
      <c r="C14" s="48"/>
      <c r="D14" s="49">
        <v>0</v>
      </c>
      <c r="E14" s="74">
        <v>9632.1</v>
      </c>
      <c r="F14" s="74">
        <v>0</v>
      </c>
      <c r="G14" s="74">
        <v>0</v>
      </c>
      <c r="H14" s="74">
        <v>8103.4</v>
      </c>
      <c r="I14" s="74">
        <v>0</v>
      </c>
      <c r="J14" s="74">
        <v>0</v>
      </c>
      <c r="K14" s="74">
        <v>8653.9</v>
      </c>
      <c r="L14" s="74">
        <v>9207.67</v>
      </c>
      <c r="M14" s="69"/>
      <c r="N14" s="69"/>
      <c r="O14" s="69"/>
      <c r="P14" s="9"/>
      <c r="Q14" s="10"/>
      <c r="R14" s="10"/>
      <c r="S14" s="10">
        <v>7154.2</v>
      </c>
      <c r="T14" s="10"/>
      <c r="U14" s="10"/>
      <c r="V14" s="10"/>
      <c r="W14" s="10"/>
      <c r="X14" s="17"/>
      <c r="Y14" s="58">
        <f t="shared" si="4"/>
        <v>7154.2</v>
      </c>
      <c r="Z14" s="86">
        <f t="shared" si="5"/>
        <v>42751.27</v>
      </c>
    </row>
    <row r="15" spans="1:26" ht="21.75" customHeight="1" thickBot="1">
      <c r="A15" s="36" t="s">
        <v>32</v>
      </c>
      <c r="B15" s="29" t="s">
        <v>51</v>
      </c>
      <c r="C15" s="48">
        <v>0</v>
      </c>
      <c r="D15" s="49">
        <v>0</v>
      </c>
      <c r="E15" s="74">
        <v>1775.03</v>
      </c>
      <c r="F15" s="74">
        <v>0</v>
      </c>
      <c r="G15" s="74">
        <v>0</v>
      </c>
      <c r="H15" s="74"/>
      <c r="I15" s="74">
        <v>2100</v>
      </c>
      <c r="J15" s="74">
        <v>2400</v>
      </c>
      <c r="K15" s="74">
        <v>2200</v>
      </c>
      <c r="L15" s="74">
        <v>2100</v>
      </c>
      <c r="M15" s="69"/>
      <c r="N15" s="69"/>
      <c r="O15" s="69"/>
      <c r="P15" s="9"/>
      <c r="Q15" s="10"/>
      <c r="R15" s="10"/>
      <c r="S15" s="10"/>
      <c r="T15" s="10"/>
      <c r="U15" s="10"/>
      <c r="V15" s="10"/>
      <c r="W15" s="10"/>
      <c r="X15" s="17"/>
      <c r="Y15" s="58">
        <f t="shared" si="4"/>
        <v>0</v>
      </c>
      <c r="Z15" s="86">
        <f t="shared" si="5"/>
        <v>10575.029999999999</v>
      </c>
    </row>
    <row r="16" spans="1:26" ht="12.75" customHeight="1" thickBot="1">
      <c r="A16" s="36" t="s">
        <v>33</v>
      </c>
      <c r="B16" s="31" t="s">
        <v>61</v>
      </c>
      <c r="C16" s="48"/>
      <c r="D16" s="49">
        <v>5916.22</v>
      </c>
      <c r="E16" s="74">
        <v>12736.76</v>
      </c>
      <c r="F16" s="74">
        <v>6302.85</v>
      </c>
      <c r="G16" s="74">
        <v>30729.82</v>
      </c>
      <c r="H16" s="74">
        <v>2662.2</v>
      </c>
      <c r="I16" s="74">
        <v>8851.42</v>
      </c>
      <c r="J16" s="74">
        <v>11480.18</v>
      </c>
      <c r="K16" s="74">
        <v>11654.39</v>
      </c>
      <c r="L16" s="74">
        <v>7032.29</v>
      </c>
      <c r="M16" s="69"/>
      <c r="N16" s="69"/>
      <c r="O16" s="69">
        <v>75</v>
      </c>
      <c r="P16" s="9"/>
      <c r="Q16" s="10">
        <v>170</v>
      </c>
      <c r="R16" s="10"/>
      <c r="S16" s="10">
        <f>384.38+203.09</f>
        <v>587.47</v>
      </c>
      <c r="T16" s="10">
        <f>124.97+385</f>
        <v>509.97</v>
      </c>
      <c r="U16" s="10">
        <f>3522.88+1700</f>
        <v>5222.88</v>
      </c>
      <c r="V16" s="10">
        <f>2754.76+530</f>
        <v>3284.76</v>
      </c>
      <c r="W16" s="10"/>
      <c r="X16" s="17">
        <v>40</v>
      </c>
      <c r="Y16" s="58">
        <f t="shared" si="4"/>
        <v>9890.08</v>
      </c>
      <c r="Z16" s="86">
        <f t="shared" si="5"/>
        <v>107256.21</v>
      </c>
    </row>
    <row r="17" spans="1:26" ht="21" customHeight="1" thickBot="1">
      <c r="A17" s="36" t="s">
        <v>34</v>
      </c>
      <c r="B17" s="31" t="s">
        <v>55</v>
      </c>
      <c r="C17" s="48">
        <v>0</v>
      </c>
      <c r="D17" s="49">
        <v>0</v>
      </c>
      <c r="E17" s="74">
        <v>0</v>
      </c>
      <c r="F17" s="74">
        <v>404.97</v>
      </c>
      <c r="G17" s="74">
        <v>0</v>
      </c>
      <c r="H17" s="74">
        <v>674.63</v>
      </c>
      <c r="I17" s="74">
        <v>52.96</v>
      </c>
      <c r="J17" s="74">
        <v>51</v>
      </c>
      <c r="K17" s="74">
        <v>465.58</v>
      </c>
      <c r="L17" s="74">
        <v>78</v>
      </c>
      <c r="M17" s="69">
        <v>129.1</v>
      </c>
      <c r="N17" s="69">
        <v>67.01</v>
      </c>
      <c r="O17" s="69"/>
      <c r="P17" s="9"/>
      <c r="Q17" s="10"/>
      <c r="R17" s="10"/>
      <c r="S17" s="10"/>
      <c r="T17" s="10"/>
      <c r="U17" s="10"/>
      <c r="V17" s="10"/>
      <c r="W17" s="10"/>
      <c r="X17" s="17"/>
      <c r="Y17" s="58">
        <f>SUM(M17:X17)</f>
        <v>196.11</v>
      </c>
      <c r="Z17" s="86">
        <f>SUM(C17:X17)</f>
        <v>1923.2499999999998</v>
      </c>
    </row>
    <row r="18" spans="1:26" ht="15" customHeight="1" thickBot="1">
      <c r="A18" s="36" t="s">
        <v>35</v>
      </c>
      <c r="B18" s="31" t="s">
        <v>71</v>
      </c>
      <c r="C18" s="48"/>
      <c r="D18" s="49">
        <v>2163.35</v>
      </c>
      <c r="E18" s="74">
        <v>2447.86</v>
      </c>
      <c r="F18" s="74">
        <v>1918.21</v>
      </c>
      <c r="G18" s="74">
        <v>0</v>
      </c>
      <c r="H18" s="74"/>
      <c r="I18" s="74">
        <v>0</v>
      </c>
      <c r="J18" s="74">
        <v>0</v>
      </c>
      <c r="K18" s="74">
        <v>16783.7</v>
      </c>
      <c r="L18" s="74">
        <v>12882.22</v>
      </c>
      <c r="M18" s="69"/>
      <c r="N18" s="69"/>
      <c r="O18" s="69"/>
      <c r="P18" s="69"/>
      <c r="Q18" s="69"/>
      <c r="R18" s="69"/>
      <c r="S18" s="10"/>
      <c r="T18" s="10"/>
      <c r="U18" s="10"/>
      <c r="V18" s="10"/>
      <c r="W18" s="10"/>
      <c r="X18" s="10"/>
      <c r="Y18" s="58">
        <f t="shared" si="4"/>
        <v>0</v>
      </c>
      <c r="Z18" s="86">
        <f t="shared" si="5"/>
        <v>36195.340000000004</v>
      </c>
    </row>
    <row r="19" spans="1:26" ht="15" customHeight="1" thickBot="1">
      <c r="A19" s="36"/>
      <c r="B19" s="31" t="s">
        <v>72</v>
      </c>
      <c r="C19" s="48"/>
      <c r="D19" s="49"/>
      <c r="E19" s="74"/>
      <c r="F19" s="74"/>
      <c r="G19" s="74"/>
      <c r="H19" s="74"/>
      <c r="I19" s="74"/>
      <c r="J19" s="74"/>
      <c r="K19" s="74">
        <v>886.11</v>
      </c>
      <c r="L19" s="74">
        <v>1117.26</v>
      </c>
      <c r="M19" s="69">
        <v>93.39</v>
      </c>
      <c r="N19" s="69">
        <v>93.39</v>
      </c>
      <c r="O19" s="69">
        <v>93.39</v>
      </c>
      <c r="P19" s="69">
        <v>93.39</v>
      </c>
      <c r="Q19" s="69">
        <v>93.39</v>
      </c>
      <c r="R19" s="69">
        <v>93.39</v>
      </c>
      <c r="S19" s="69">
        <v>93.39</v>
      </c>
      <c r="T19" s="10">
        <v>96.81</v>
      </c>
      <c r="U19" s="10">
        <v>95.1</v>
      </c>
      <c r="V19" s="10">
        <v>95.1</v>
      </c>
      <c r="W19" s="10">
        <v>95.1</v>
      </c>
      <c r="X19" s="10">
        <v>95.1</v>
      </c>
      <c r="Y19" s="58">
        <f>SUM(M19:X19)</f>
        <v>1130.9399999999998</v>
      </c>
      <c r="Z19" s="86">
        <f>SUM(C19:X19)</f>
        <v>3134.3099999999986</v>
      </c>
    </row>
    <row r="20" spans="1:26" ht="15" customHeight="1" thickBot="1">
      <c r="A20" s="36"/>
      <c r="B20" s="31" t="s">
        <v>73</v>
      </c>
      <c r="C20" s="48"/>
      <c r="D20" s="49"/>
      <c r="E20" s="74"/>
      <c r="F20" s="74"/>
      <c r="G20" s="74"/>
      <c r="H20" s="74"/>
      <c r="I20" s="74"/>
      <c r="J20" s="74"/>
      <c r="K20" s="74">
        <v>571.85</v>
      </c>
      <c r="L20" s="74">
        <v>987.84</v>
      </c>
      <c r="M20" s="69">
        <v>82.67</v>
      </c>
      <c r="N20" s="69">
        <v>82.67</v>
      </c>
      <c r="O20" s="69">
        <v>82.67</v>
      </c>
      <c r="P20" s="69">
        <v>82.67</v>
      </c>
      <c r="Q20" s="69">
        <v>82.67</v>
      </c>
      <c r="R20" s="69">
        <v>82.67</v>
      </c>
      <c r="S20" s="69">
        <v>82.67</v>
      </c>
      <c r="T20" s="10">
        <v>101.29</v>
      </c>
      <c r="U20" s="10">
        <v>91.98</v>
      </c>
      <c r="V20" s="10">
        <v>91.98</v>
      </c>
      <c r="W20" s="10">
        <v>91.98</v>
      </c>
      <c r="X20" s="10">
        <v>91.98</v>
      </c>
      <c r="Y20" s="58">
        <f>SUM(M20:X20)</f>
        <v>1047.9</v>
      </c>
      <c r="Z20" s="86">
        <f>SUM(C20:X20)</f>
        <v>2607.5900000000006</v>
      </c>
    </row>
    <row r="21" spans="1:26" ht="13.5" customHeight="1" thickBot="1">
      <c r="A21" s="36" t="s">
        <v>36</v>
      </c>
      <c r="B21" s="31" t="s">
        <v>5</v>
      </c>
      <c r="C21" s="48"/>
      <c r="D21" s="49">
        <v>1057.5</v>
      </c>
      <c r="E21" s="74">
        <v>335.65</v>
      </c>
      <c r="F21" s="74">
        <v>124.95</v>
      </c>
      <c r="G21" s="74">
        <v>201.3</v>
      </c>
      <c r="H21" s="74"/>
      <c r="I21" s="74">
        <v>0</v>
      </c>
      <c r="J21" s="74">
        <v>0</v>
      </c>
      <c r="K21" s="74">
        <v>0</v>
      </c>
      <c r="L21" s="74">
        <v>0</v>
      </c>
      <c r="M21" s="69"/>
      <c r="N21" s="69"/>
      <c r="O21" s="69"/>
      <c r="P21" s="9"/>
      <c r="Q21" s="10"/>
      <c r="R21" s="10"/>
      <c r="S21" s="10"/>
      <c r="T21" s="10"/>
      <c r="U21" s="10"/>
      <c r="V21" s="10"/>
      <c r="W21" s="10"/>
      <c r="X21" s="17"/>
      <c r="Y21" s="58">
        <f t="shared" si="4"/>
        <v>0</v>
      </c>
      <c r="Z21" s="86">
        <f t="shared" si="5"/>
        <v>1719.4</v>
      </c>
    </row>
    <row r="22" spans="1:26" ht="31.5" customHeight="1" thickBot="1">
      <c r="A22" s="36" t="s">
        <v>37</v>
      </c>
      <c r="B22" s="31" t="s">
        <v>74</v>
      </c>
      <c r="C22" s="48"/>
      <c r="D22" s="49">
        <v>1926.4</v>
      </c>
      <c r="E22" s="74">
        <v>6880.71</v>
      </c>
      <c r="F22" s="74">
        <v>8677.18</v>
      </c>
      <c r="G22" s="74">
        <v>8194.17</v>
      </c>
      <c r="H22" s="74">
        <v>5471.14</v>
      </c>
      <c r="I22" s="74">
        <v>6451.57</v>
      </c>
      <c r="J22" s="74">
        <v>6822.34</v>
      </c>
      <c r="K22" s="74">
        <v>6931.23</v>
      </c>
      <c r="L22" s="74">
        <v>7285.1</v>
      </c>
      <c r="M22" s="69">
        <v>587.8</v>
      </c>
      <c r="N22" s="69">
        <v>616.15</v>
      </c>
      <c r="O22" s="69">
        <v>489.23</v>
      </c>
      <c r="P22" s="9">
        <v>585.92</v>
      </c>
      <c r="Q22" s="10">
        <v>487.43</v>
      </c>
      <c r="R22" s="10">
        <v>373.73</v>
      </c>
      <c r="S22" s="10">
        <v>390.62</v>
      </c>
      <c r="T22" s="10">
        <v>331.08</v>
      </c>
      <c r="U22" s="10">
        <v>372.27</v>
      </c>
      <c r="V22" s="10">
        <v>770.89</v>
      </c>
      <c r="W22" s="10">
        <v>487.45</v>
      </c>
      <c r="X22" s="17">
        <v>414.72</v>
      </c>
      <c r="Y22" s="58">
        <f t="shared" si="4"/>
        <v>5907.29</v>
      </c>
      <c r="Z22" s="86">
        <f t="shared" si="5"/>
        <v>64547.13</v>
      </c>
    </row>
    <row r="23" spans="1:26" ht="31.5" customHeight="1" thickBot="1">
      <c r="A23" s="36" t="s">
        <v>38</v>
      </c>
      <c r="B23" s="31" t="s">
        <v>64</v>
      </c>
      <c r="C23" s="48"/>
      <c r="D23" s="49">
        <v>3362.77</v>
      </c>
      <c r="E23" s="74">
        <v>3744.12</v>
      </c>
      <c r="F23" s="74">
        <v>1068.81</v>
      </c>
      <c r="G23" s="74">
        <v>757.71</v>
      </c>
      <c r="H23" s="74">
        <v>1645.67</v>
      </c>
      <c r="I23" s="74">
        <v>1111.85</v>
      </c>
      <c r="J23" s="74">
        <v>970.55</v>
      </c>
      <c r="K23" s="74">
        <v>758.17</v>
      </c>
      <c r="L23" s="74">
        <v>735.32</v>
      </c>
      <c r="M23" s="69">
        <v>46.51</v>
      </c>
      <c r="N23" s="69">
        <v>40.1</v>
      </c>
      <c r="O23" s="69">
        <v>34.94</v>
      </c>
      <c r="P23" s="9">
        <v>40.66</v>
      </c>
      <c r="Q23" s="10">
        <v>4.29</v>
      </c>
      <c r="R23" s="10">
        <v>60.94</v>
      </c>
      <c r="S23" s="10">
        <v>68.34</v>
      </c>
      <c r="T23" s="10">
        <v>79.6</v>
      </c>
      <c r="U23" s="10">
        <v>118.31</v>
      </c>
      <c r="V23" s="10">
        <v>29.26</v>
      </c>
      <c r="W23" s="10">
        <v>107.97</v>
      </c>
      <c r="X23" s="17">
        <v>38</v>
      </c>
      <c r="Y23" s="58">
        <f t="shared" si="4"/>
        <v>668.9200000000001</v>
      </c>
      <c r="Z23" s="86">
        <f t="shared" si="5"/>
        <v>14823.890000000001</v>
      </c>
    </row>
    <row r="24" spans="1:26" ht="35.25" customHeight="1" thickBot="1">
      <c r="A24" s="36" t="s">
        <v>39</v>
      </c>
      <c r="B24" s="31" t="s">
        <v>66</v>
      </c>
      <c r="C24" s="48"/>
      <c r="D24" s="49">
        <v>1345.85</v>
      </c>
      <c r="E24" s="74">
        <v>5986.87</v>
      </c>
      <c r="F24" s="74">
        <v>5557.46</v>
      </c>
      <c r="G24" s="74">
        <v>7432.11</v>
      </c>
      <c r="H24" s="74">
        <v>6382.27</v>
      </c>
      <c r="I24" s="74">
        <v>8292.69</v>
      </c>
      <c r="J24" s="74">
        <v>7099.15</v>
      </c>
      <c r="K24" s="74">
        <v>7477.64</v>
      </c>
      <c r="L24" s="74">
        <v>8196.67</v>
      </c>
      <c r="M24" s="69">
        <f>29.03+281.27+346.45</f>
        <v>656.75</v>
      </c>
      <c r="N24" s="69">
        <f>27.36+391.89+335.85</f>
        <v>755.1</v>
      </c>
      <c r="O24" s="69">
        <f>350.27+23.8+261.28</f>
        <v>635.3499999999999</v>
      </c>
      <c r="P24" s="9">
        <f>25.45+288.88+928.18</f>
        <v>1242.51</v>
      </c>
      <c r="Q24" s="10">
        <f>24.84+318.97+251.56</f>
        <v>595.37</v>
      </c>
      <c r="R24" s="10">
        <f>28.87+222+445.42</f>
        <v>696.29</v>
      </c>
      <c r="S24" s="10">
        <f>27.76+376+202.86</f>
        <v>606.62</v>
      </c>
      <c r="T24" s="10">
        <f>25.43+231.13+323.38</f>
        <v>579.94</v>
      </c>
      <c r="U24" s="10">
        <f>18.51+205.56+294.46</f>
        <v>518.53</v>
      </c>
      <c r="V24" s="10">
        <f>18.76+329.29+836.7</f>
        <v>1184.75</v>
      </c>
      <c r="W24" s="10">
        <f>20.74+207.06+215.5</f>
        <v>443.3</v>
      </c>
      <c r="X24" s="17">
        <f>626.2+20.69+361.71</f>
        <v>1008.6000000000001</v>
      </c>
      <c r="Y24" s="58">
        <f t="shared" si="4"/>
        <v>8923.11</v>
      </c>
      <c r="Z24" s="86">
        <f t="shared" si="5"/>
        <v>66693.82</v>
      </c>
    </row>
    <row r="25" spans="1:26" ht="12" customHeight="1" thickBot="1">
      <c r="A25" s="36" t="s">
        <v>56</v>
      </c>
      <c r="B25" s="31" t="s">
        <v>8</v>
      </c>
      <c r="C25" s="48"/>
      <c r="D25" s="49">
        <v>31214.13</v>
      </c>
      <c r="E25" s="74">
        <v>58168.28</v>
      </c>
      <c r="F25" s="74">
        <v>69794.55</v>
      </c>
      <c r="G25" s="74">
        <v>73457.26</v>
      </c>
      <c r="H25" s="74">
        <v>75078.63</v>
      </c>
      <c r="I25" s="74">
        <v>86736.54</v>
      </c>
      <c r="J25" s="74">
        <v>80956.2</v>
      </c>
      <c r="K25" s="74">
        <v>81390.41</v>
      </c>
      <c r="L25" s="74">
        <v>88862.09</v>
      </c>
      <c r="M25" s="69">
        <f>12043.05-4096.28</f>
        <v>7946.7699999999995</v>
      </c>
      <c r="N25" s="69">
        <f>13937.07-5100.93</f>
        <v>8836.14</v>
      </c>
      <c r="O25" s="69">
        <f>9325.05-1842.7</f>
        <v>7482.349999999999</v>
      </c>
      <c r="P25" s="9">
        <f>10080.05-2562.93</f>
        <v>7517.119999999999</v>
      </c>
      <c r="Q25" s="10">
        <f>9818.61-1930.72</f>
        <v>7887.89</v>
      </c>
      <c r="R25" s="10">
        <f>9480.83-1766.22</f>
        <v>7714.61</v>
      </c>
      <c r="S25" s="10">
        <f>17571.67-9549.16</f>
        <v>8022.509999999998</v>
      </c>
      <c r="T25" s="10">
        <f>9889.1-2173.81</f>
        <v>7715.290000000001</v>
      </c>
      <c r="U25" s="10">
        <f>15213.1-6843.29</f>
        <v>8369.810000000001</v>
      </c>
      <c r="V25" s="10">
        <f>14667.09-6004.16</f>
        <v>8662.93</v>
      </c>
      <c r="W25" s="10">
        <f>9698.05-1697.61</f>
        <v>8000.44</v>
      </c>
      <c r="X25" s="17">
        <f>10076.45-2146.76</f>
        <v>7929.6900000000005</v>
      </c>
      <c r="Y25" s="58">
        <f t="shared" si="4"/>
        <v>96085.55000000002</v>
      </c>
      <c r="Z25" s="86">
        <f>SUM(C25:X25)</f>
        <v>741743.64</v>
      </c>
    </row>
    <row r="26" spans="1:26" ht="13.5" customHeight="1" thickBot="1">
      <c r="A26" s="36" t="s">
        <v>57</v>
      </c>
      <c r="B26" s="32" t="s">
        <v>3</v>
      </c>
      <c r="C26" s="50"/>
      <c r="D26" s="51">
        <v>5868.23</v>
      </c>
      <c r="E26" s="75">
        <v>9447.82</v>
      </c>
      <c r="F26" s="75">
        <v>6231.99</v>
      </c>
      <c r="G26" s="75">
        <v>5631.82</v>
      </c>
      <c r="H26" s="75">
        <v>5607.62</v>
      </c>
      <c r="I26" s="75">
        <v>5719.61</v>
      </c>
      <c r="J26" s="75">
        <v>5542.86</v>
      </c>
      <c r="K26" s="75">
        <v>6189.4</v>
      </c>
      <c r="L26" s="75">
        <v>6202.85</v>
      </c>
      <c r="M26" s="70">
        <f>6.29+493.77</f>
        <v>500.06</v>
      </c>
      <c r="N26" s="70">
        <f>5.99+440.52</f>
        <v>446.51</v>
      </c>
      <c r="O26" s="70">
        <f>5.81+426.31</f>
        <v>432.12</v>
      </c>
      <c r="P26" s="11">
        <f>5.81+426.31</f>
        <v>432.12</v>
      </c>
      <c r="Q26" s="12">
        <f>5.81+426.31</f>
        <v>432.12</v>
      </c>
      <c r="R26" s="12">
        <f>5.81+426.31</f>
        <v>432.12</v>
      </c>
      <c r="S26" s="12">
        <f>6.68+487.81</f>
        <v>494.49</v>
      </c>
      <c r="T26" s="12">
        <f>6.03+416.38</f>
        <v>422.40999999999997</v>
      </c>
      <c r="U26" s="12">
        <f>5.87+405.14</f>
        <v>411.01</v>
      </c>
      <c r="V26" s="12">
        <f>7.14+493.05</f>
        <v>500.19</v>
      </c>
      <c r="W26" s="12">
        <f>6.18+426.31</f>
        <v>432.49</v>
      </c>
      <c r="X26" s="19">
        <f>6.18+426.32</f>
        <v>432.5</v>
      </c>
      <c r="Y26" s="58">
        <f t="shared" si="4"/>
        <v>5368.139999999999</v>
      </c>
      <c r="Z26" s="86">
        <f t="shared" si="5"/>
        <v>61810.34000000002</v>
      </c>
    </row>
    <row r="27" spans="1:26" ht="13.5" customHeight="1" thickBot="1">
      <c r="A27" s="36"/>
      <c r="B27" s="43" t="s">
        <v>60</v>
      </c>
      <c r="C27" s="80"/>
      <c r="D27" s="81"/>
      <c r="E27" s="82"/>
      <c r="F27" s="82"/>
      <c r="G27" s="81"/>
      <c r="H27" s="77">
        <f>H8*5%</f>
        <v>8276.642</v>
      </c>
      <c r="I27" s="77">
        <f>I8*5%</f>
        <v>8375.03</v>
      </c>
      <c r="J27" s="77">
        <f>J8*5%</f>
        <v>8313.042</v>
      </c>
      <c r="K27" s="83">
        <f>K8*5%</f>
        <v>7410.048</v>
      </c>
      <c r="L27" s="83">
        <f>L8*5%</f>
        <v>7414.372</v>
      </c>
      <c r="M27" s="83">
        <f>(M8+M9+M10)*5%</f>
        <v>666.7425000000001</v>
      </c>
      <c r="N27" s="83">
        <f aca="true" t="shared" si="6" ref="N27:X27">(N8+N9+N10)*5%</f>
        <v>666.7425000000001</v>
      </c>
      <c r="O27" s="83">
        <f t="shared" si="6"/>
        <v>666.7425000000001</v>
      </c>
      <c r="P27" s="83">
        <f t="shared" si="6"/>
        <v>666.7425000000001</v>
      </c>
      <c r="Q27" s="83">
        <f t="shared" si="6"/>
        <v>666.7425000000001</v>
      </c>
      <c r="R27" s="83">
        <f t="shared" si="6"/>
        <v>666.7425000000001</v>
      </c>
      <c r="S27" s="83">
        <f t="shared" si="6"/>
        <v>667.716</v>
      </c>
      <c r="T27" s="83">
        <f t="shared" si="6"/>
        <v>667.716</v>
      </c>
      <c r="U27" s="83">
        <f t="shared" si="6"/>
        <v>667.716</v>
      </c>
      <c r="V27" s="83">
        <f t="shared" si="6"/>
        <v>667.716</v>
      </c>
      <c r="W27" s="83">
        <f t="shared" si="6"/>
        <v>667.716</v>
      </c>
      <c r="X27" s="83">
        <f t="shared" si="6"/>
        <v>667.716</v>
      </c>
      <c r="Y27" s="77">
        <f t="shared" si="4"/>
        <v>8006.751000000003</v>
      </c>
      <c r="Z27" s="84"/>
    </row>
    <row r="28" spans="1:26" ht="15" customHeight="1" thickBot="1">
      <c r="A28" s="36" t="s">
        <v>40</v>
      </c>
      <c r="B28" s="62" t="s">
        <v>53</v>
      </c>
      <c r="C28" s="63"/>
      <c r="D28" s="64"/>
      <c r="E28" s="76"/>
      <c r="F28" s="76"/>
      <c r="G28" s="76"/>
      <c r="H28" s="76"/>
      <c r="I28" s="76"/>
      <c r="J28" s="76"/>
      <c r="K28" s="78">
        <f aca="true" t="shared" si="7" ref="K28:X28">SUM(K8+K9+K10-K11)-K27</f>
        <v>-10243.958000000002</v>
      </c>
      <c r="L28" s="78">
        <f>SUM(L8+L9+L10-L11)-L27</f>
        <v>-20475.242000000024</v>
      </c>
      <c r="M28" s="78">
        <f t="shared" si="7"/>
        <v>625.057500000001</v>
      </c>
      <c r="N28" s="78">
        <f t="shared" si="7"/>
        <v>-1268.9624999999994</v>
      </c>
      <c r="O28" s="78">
        <f t="shared" si="7"/>
        <v>3343.057499999999</v>
      </c>
      <c r="P28" s="78">
        <f t="shared" si="7"/>
        <v>2588.057500000001</v>
      </c>
      <c r="Q28" s="78">
        <f t="shared" si="7"/>
        <v>2849.4974999999995</v>
      </c>
      <c r="R28" s="78">
        <f t="shared" si="7"/>
        <v>3187.2775</v>
      </c>
      <c r="S28" s="78">
        <f t="shared" si="7"/>
        <v>-4885.0660000000025</v>
      </c>
      <c r="T28" s="78">
        <f t="shared" si="7"/>
        <v>2797.5039999999995</v>
      </c>
      <c r="U28" s="78">
        <f t="shared" si="7"/>
        <v>-2526.4960000000024</v>
      </c>
      <c r="V28" s="78">
        <f t="shared" si="7"/>
        <v>-1980.4860000000022</v>
      </c>
      <c r="W28" s="78">
        <f t="shared" si="7"/>
        <v>2988.5540000000005</v>
      </c>
      <c r="X28" s="78">
        <f t="shared" si="7"/>
        <v>2610.153999999999</v>
      </c>
      <c r="Y28" s="77">
        <f t="shared" si="4"/>
        <v>10328.14899999999</v>
      </c>
      <c r="Z28" s="84"/>
    </row>
    <row r="29" spans="1:26" ht="21.75" customHeight="1" thickBot="1">
      <c r="A29" s="89" t="s">
        <v>41</v>
      </c>
      <c r="B29" s="96" t="s">
        <v>22</v>
      </c>
      <c r="C29" s="97">
        <v>11978.96</v>
      </c>
      <c r="D29" s="96">
        <v>39598.06</v>
      </c>
      <c r="E29" s="91">
        <f>SUM(E8-E11)</f>
        <v>13713.119999999995</v>
      </c>
      <c r="F29" s="92">
        <f>SUM(F8-F11)</f>
        <v>30420.619999999995</v>
      </c>
      <c r="G29" s="92">
        <f>SUM(G8-G11)</f>
        <v>-77.4100000000326</v>
      </c>
      <c r="H29" s="98">
        <f>SUM(H8-H11)-H27</f>
        <v>12850.028000000013</v>
      </c>
      <c r="I29" s="98">
        <f>SUM(I8-I11)-I27</f>
        <v>-2559.979999999983</v>
      </c>
      <c r="J29" s="98">
        <f>SUM(J8-J11)-J27</f>
        <v>-2165.6819999999843</v>
      </c>
      <c r="K29" s="98">
        <f>SUM(K8+K9+K10-K11)-K27</f>
        <v>-10243.958000000002</v>
      </c>
      <c r="L29" s="98">
        <f>SUM(L8+L9+L10-L11)-L27</f>
        <v>-20475.242000000024</v>
      </c>
      <c r="M29" s="98">
        <f>SUM(M8+M9+M10-M11)-M27</f>
        <v>625.057500000001</v>
      </c>
      <c r="N29" s="98">
        <f>SUM(N28+M29)</f>
        <v>-643.9049999999984</v>
      </c>
      <c r="O29" s="98">
        <f aca="true" t="shared" si="8" ref="O29:X29">SUM(O28+N29)</f>
        <v>2699.1525000000006</v>
      </c>
      <c r="P29" s="98">
        <f t="shared" si="8"/>
        <v>5287.210000000001</v>
      </c>
      <c r="Q29" s="98">
        <f t="shared" si="8"/>
        <v>8136.7075</v>
      </c>
      <c r="R29" s="98">
        <f t="shared" si="8"/>
        <v>11323.985</v>
      </c>
      <c r="S29" s="98">
        <f t="shared" si="8"/>
        <v>6438.918999999998</v>
      </c>
      <c r="T29" s="98">
        <f t="shared" si="8"/>
        <v>9236.422999999997</v>
      </c>
      <c r="U29" s="98">
        <f t="shared" si="8"/>
        <v>6709.926999999994</v>
      </c>
      <c r="V29" s="98">
        <f t="shared" si="8"/>
        <v>4729.440999999992</v>
      </c>
      <c r="W29" s="98">
        <f t="shared" si="8"/>
        <v>7717.994999999992</v>
      </c>
      <c r="X29" s="98">
        <f t="shared" si="8"/>
        <v>10328.14899999999</v>
      </c>
      <c r="Y29" s="92"/>
      <c r="Z29" s="99"/>
    </row>
    <row r="30" spans="1:26" ht="21.75" customHeight="1" hidden="1" thickBot="1">
      <c r="A30" s="36" t="s">
        <v>42</v>
      </c>
      <c r="B30" s="43" t="s">
        <v>23</v>
      </c>
      <c r="C30" s="39">
        <v>11978.96</v>
      </c>
      <c r="D30" s="67">
        <v>51577.02</v>
      </c>
      <c r="E30" s="18">
        <f>SUM(E8-E11,D30)</f>
        <v>65290.13999999999</v>
      </c>
      <c r="F30" s="58">
        <f>SUM(F8-F11,E30)</f>
        <v>95710.75999999998</v>
      </c>
      <c r="G30" s="58">
        <f>SUM(G8-G11,F30)</f>
        <v>95633.34999999995</v>
      </c>
      <c r="H30" s="77">
        <f aca="true" t="shared" si="9" ref="H30:M30">SUM(H29+G30)</f>
        <v>108483.37799999997</v>
      </c>
      <c r="I30" s="77">
        <f t="shared" si="9"/>
        <v>105923.39799999999</v>
      </c>
      <c r="J30" s="77">
        <f t="shared" si="9"/>
        <v>103757.716</v>
      </c>
      <c r="K30" s="77">
        <f t="shared" si="9"/>
        <v>93513.758</v>
      </c>
      <c r="L30" s="77">
        <f t="shared" si="9"/>
        <v>73038.51599999997</v>
      </c>
      <c r="M30" s="77">
        <f t="shared" si="9"/>
        <v>73663.57349999997</v>
      </c>
      <c r="N30" s="77">
        <f>SUM(N28+M30)</f>
        <v>72394.61099999998</v>
      </c>
      <c r="O30" s="77">
        <f aca="true" t="shared" si="10" ref="O30:W30">SUM(O28+N30)</f>
        <v>75737.66849999997</v>
      </c>
      <c r="P30" s="77">
        <f t="shared" si="10"/>
        <v>78325.72599999997</v>
      </c>
      <c r="Q30" s="77">
        <f t="shared" si="10"/>
        <v>81175.22349999996</v>
      </c>
      <c r="R30" s="77">
        <f t="shared" si="10"/>
        <v>84362.50099999996</v>
      </c>
      <c r="S30" s="77">
        <f t="shared" si="10"/>
        <v>79477.43499999995</v>
      </c>
      <c r="T30" s="77">
        <f>SUM(T28+S30)-Z10</f>
        <v>23017.06899999998</v>
      </c>
      <c r="U30" s="77">
        <f t="shared" si="10"/>
        <v>20490.57299999998</v>
      </c>
      <c r="V30" s="77">
        <f t="shared" si="10"/>
        <v>18510.086999999978</v>
      </c>
      <c r="W30" s="77">
        <f t="shared" si="10"/>
        <v>21498.640999999978</v>
      </c>
      <c r="X30" s="77">
        <f>SUM(X28+W30)</f>
        <v>24108.794999999976</v>
      </c>
      <c r="Y30" s="58"/>
      <c r="Z30" s="68"/>
    </row>
    <row r="31" spans="1:26" ht="18" customHeight="1" hidden="1" thickBot="1">
      <c r="A31" s="36" t="s">
        <v>43</v>
      </c>
      <c r="B31" s="43" t="s">
        <v>7</v>
      </c>
      <c r="C31" s="40"/>
      <c r="D31" s="44"/>
      <c r="E31" s="44"/>
      <c r="F31" s="40"/>
      <c r="G31" s="40"/>
      <c r="H31" s="40"/>
      <c r="I31" s="40"/>
      <c r="J31" s="40"/>
      <c r="K31" s="40"/>
      <c r="L31" s="40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8"/>
      <c r="Z31" s="53"/>
    </row>
    <row r="32" spans="1:26" ht="0.75" customHeight="1" hidden="1" thickBot="1">
      <c r="A32" s="37" t="s">
        <v>44</v>
      </c>
      <c r="B32" s="33" t="s">
        <v>24</v>
      </c>
      <c r="C32" s="40"/>
      <c r="D32" s="44"/>
      <c r="E32" s="44"/>
      <c r="F32" s="40"/>
      <c r="G32" s="40"/>
      <c r="H32" s="40"/>
      <c r="I32" s="40"/>
      <c r="J32" s="40"/>
      <c r="K32" s="40"/>
      <c r="L32" s="40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0"/>
      <c r="Y32" s="59"/>
      <c r="Z32" s="54"/>
    </row>
    <row r="33" spans="1:26" ht="19.5" customHeight="1" hidden="1" thickBot="1">
      <c r="A33" s="37" t="s">
        <v>47</v>
      </c>
      <c r="B33" s="34" t="s">
        <v>48</v>
      </c>
      <c r="C33" s="41"/>
      <c r="D33" s="45"/>
      <c r="E33" s="45"/>
      <c r="F33" s="41"/>
      <c r="G33" s="41"/>
      <c r="H33" s="41"/>
      <c r="I33" s="41"/>
      <c r="J33" s="41"/>
      <c r="K33" s="41"/>
      <c r="L33" s="41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f>SUM(X29-X31)</f>
        <v>10328.14899999999</v>
      </c>
      <c r="Y33" s="60"/>
      <c r="Z33" s="55"/>
    </row>
    <row r="34" spans="1:26" ht="17.25" customHeight="1" hidden="1" thickBot="1">
      <c r="A34" s="61" t="s">
        <v>52</v>
      </c>
      <c r="B34" s="34" t="s">
        <v>25</v>
      </c>
      <c r="C34" s="41"/>
      <c r="D34" s="45"/>
      <c r="E34" s="41"/>
      <c r="F34" s="41"/>
      <c r="G34" s="41"/>
      <c r="H34" s="41"/>
      <c r="I34" s="41"/>
      <c r="J34" s="41"/>
      <c r="K34" s="41"/>
      <c r="L34" s="41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>
        <f>SUM(X30-X31)</f>
        <v>24108.794999999976</v>
      </c>
      <c r="Y34" s="60"/>
      <c r="Z34" s="55"/>
    </row>
    <row r="35" spans="3:26" ht="15.75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ht="12.75">
      <c r="B36" t="s">
        <v>65</v>
      </c>
    </row>
    <row r="37" ht="0.75" customHeight="1"/>
    <row r="38" ht="12.75" hidden="1"/>
    <row r="39" ht="12.75" hidden="1"/>
    <row r="40" spans="22:26" ht="12.75">
      <c r="V40" s="87"/>
      <c r="W40" s="87"/>
      <c r="X40" s="87"/>
      <c r="Y40" s="87"/>
      <c r="Z40" s="87"/>
    </row>
    <row r="44" ht="12.75" customHeight="1"/>
    <row r="45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2020-02-21T06:02:53Z</cp:lastPrinted>
  <dcterms:created xsi:type="dcterms:W3CDTF">2011-06-16T11:06:26Z</dcterms:created>
  <dcterms:modified xsi:type="dcterms:W3CDTF">2020-03-11T08:33:38Z</dcterms:modified>
  <cp:category/>
  <cp:version/>
  <cp:contentType/>
  <cp:contentStatus/>
</cp:coreProperties>
</file>