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<sst xmlns="http://schemas.openxmlformats.org/spreadsheetml/2006/main" count="82" uniqueCount="82">
  <si>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</si>
  <si>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</si>
  <si>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</si>
  <si>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</si>
  <si>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</si>
  <si>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</si>
  <si>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</si>
  <si>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</si>
  <si>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</si>
  <si>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</si>
  <si>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</si>
  <si>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</si>
  <si>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</si>
  <si>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</si>
  <si>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</si>
  <si>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</si>
  <si>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</si>
  <si>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</si>
  <si>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</si>
  <si>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</si>
  <si>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</si>
  <si>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</si>
  <si>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</si>
  <si>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</si>
  <si>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</si>
  <si>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</si>
  <si>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</si>
  <si>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</si>
  <si>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</si>
  <si>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</si>
  <si>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</si>
  <si>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</si>
  <si>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</si>
  <si>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</si>
  <si>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</si>
  <si>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</si>
  <si>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</si>
  <si>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</si>
  <si>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</si>
  <si>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</si>
  <si>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</si>
  <si>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</si>
  <si>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</si>
  <si>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</si>
  <si>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</si>
  <si>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</si>
  <si>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</si>
  <si>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</si>
  <si>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Пролетарская д.1</t>
  </si>
  <si>
    <t>11</t>
  </si>
  <si>
    <t>Благоустройство территории</t>
  </si>
  <si>
    <t>Итого за 2011 г</t>
  </si>
  <si>
    <t>Результат за месяц</t>
  </si>
  <si>
    <t>Итого за 2012 г</t>
  </si>
  <si>
    <t>4.12</t>
  </si>
  <si>
    <t xml:space="preserve">Материалы </t>
  </si>
  <si>
    <t>4.13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</si>
  <si>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</si>
  <si>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</si>
  <si>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</si>
  <si>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</si>
  <si>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</si>
  <si>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Проверка вент.каналов</t>
  </si>
  <si>
    <t>4.4</t>
  </si>
  <si>
    <t xml:space="preserve">Расходы на управление,аренда, связь </t>
  </si>
  <si>
    <t>Исполнитель  вед. экономист /Викторова Л.С../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</si>
  <si>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</si>
  <si>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</si>
  <si>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</si>
  <si>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</si>
  <si>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</si>
  <si>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</si>
  <si>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</si>
  <si>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</si>
  <si>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</si>
  <si>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</si>
  <si>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</si>
  <si>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Итого за 2019 г</t>
  </si>
  <si>
    <t>Всего за 2009-2019</t>
  </si>
  <si>
    <t>Вывоз ТБО (Утилизация)</t>
  </si>
  <si>
    <t>Дом по ул.Пролетарская  д.1 вступил в ООО "Наш дом" с ноября 2009 года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</si>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</sst>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5" fillId="0" borderId="37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35" xfId="0" applyNumberFormat="1" applyFont="1" applyBorder="1" applyAlignment="1">
      <alignment wrapText="1"/>
    </xf>
    <xf numFmtId="0" fontId="25" fillId="0" borderId="38" xfId="0" applyFont="1" applyBorder="1" applyAlignment="1">
      <alignment wrapText="1"/>
    </xf>
    <xf numFmtId="0" fontId="20" fillId="0" borderId="32" xfId="0" applyFont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49" xfId="0" applyNumberFormat="1" applyFont="1" applyBorder="1" applyAlignment="1">
      <alignment/>
    </xf>
    <xf numFmtId="0" fontId="20" fillId="0" borderId="27" xfId="0" applyFont="1" applyBorder="1" applyAlignment="1">
      <alignment/>
    </xf>
    <xf numFmtId="2" fontId="21" fillId="0" borderId="42" xfId="0" applyNumberFormat="1" applyFont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6" fillId="0" borderId="2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11" xfId="0" applyFont="1" applyBorder="1" applyAlignment="1">
      <alignment/>
    </xf>
    <xf numFmtId="2" fontId="27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6" fillId="0" borderId="49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0" borderId="51" xfId="0" applyFont="1" applyBorder="1" applyAlignment="1">
      <alignment wrapText="1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2" fontId="26" fillId="0" borderId="35" xfId="0" applyNumberFormat="1" applyFont="1" applyBorder="1" applyAlignment="1">
      <alignment/>
    </xf>
    <xf numFmtId="2" fontId="26" fillId="0" borderId="51" xfId="0" applyNumberFormat="1" applyFont="1" applyBorder="1" applyAlignment="1">
      <alignment/>
    </xf>
    <xf numFmtId="2" fontId="26" fillId="0" borderId="52" xfId="0" applyNumberFormat="1" applyFont="1" applyBorder="1" applyAlignment="1">
      <alignment/>
    </xf>
    <xf numFmtId="2" fontId="26" fillId="0" borderId="53" xfId="0" applyNumberFormat="1" applyFont="1" applyBorder="1" applyAlignment="1">
      <alignment/>
    </xf>
    <xf numFmtId="0" fontId="26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B4">
      <selection activeCell="B2" sqref="B2:Y2"/>
    </sheetView>
  </sheetViews>
  <sheetFormatPr defaultColWidth="9.00390625" defaultRowHeight="12.75"/>
  <cols>
    <col min="1" max="1" width="4.00390625" style="26" hidden="1" customWidth="1"/>
    <col min="2" max="2" width="20.00390625" style="0" customWidth="1"/>
    <col min="3" max="3" width="0.12890625" style="0" hidden="1" customWidth="1"/>
    <col min="4" max="4" width="7.625" style="0" hidden="1" customWidth="1"/>
    <col min="5" max="5" width="8.125" style="0" hidden="1" customWidth="1"/>
    <col min="6" max="6" width="8.75390625" style="0" hidden="1" customWidth="1"/>
    <col min="7" max="7" width="8.875" style="0" hidden="1" customWidth="1"/>
    <col min="8" max="8" width="9.00390625" style="0" hidden="1" customWidth="1"/>
    <col min="9" max="9" width="9.25390625" style="0" hidden="1" customWidth="1"/>
    <col min="10" max="10" width="10.125" style="0" hidden="1" customWidth="1"/>
    <col min="11" max="11" width="10.375" style="0" hidden="1" customWidth="1"/>
    <col min="12" max="12" width="10.25390625" style="0" hidden="1" customWidth="1"/>
    <col min="13" max="13" width="9.00390625" style="0" customWidth="1"/>
    <col min="14" max="14" width="8.875" style="0" customWidth="1"/>
    <col min="15" max="15" width="8.625" style="0" customWidth="1"/>
    <col min="16" max="16" width="8.75390625" style="0" customWidth="1"/>
    <col min="17" max="17" width="8.625" style="0" customWidth="1"/>
    <col min="18" max="18" width="8.75390625" style="0" customWidth="1"/>
    <col min="19" max="19" width="9.625" style="0" customWidth="1"/>
    <col min="20" max="20" width="8.625" style="0" customWidth="1"/>
    <col min="21" max="21" width="8.75390625" style="0" customWidth="1"/>
    <col min="22" max="23" width="8.625" style="0" customWidth="1"/>
    <col min="24" max="24" width="9.00390625" style="0" customWidth="1"/>
    <col min="25" max="25" width="9.125" style="0" customWidth="1"/>
    <col min="26" max="26" width="11.125" style="0" customWidth="1"/>
  </cols>
  <sheetData>
    <row r="1" spans="2:31" ht="12.75" customHeight="1">
      <c r="B1" s="106" t="s">
        <v>81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6" t="s">
        <v>80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7"/>
      <c r="Z2" s="4"/>
      <c r="AA2" s="4"/>
      <c r="AB2" s="4"/>
      <c r="AC2" s="4"/>
      <c r="AD2" s="4"/>
      <c r="AE2" s="4"/>
    </row>
    <row r="3" spans="2:31" ht="12.75" customHeight="1"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"/>
      <c r="AB3" s="3"/>
      <c r="AC3" s="3"/>
      <c r="AD3" s="3"/>
      <c r="AE3" s="3"/>
    </row>
    <row r="4" spans="2:31" ht="15" customHeight="1">
      <c r="B4" s="104" t="s">
        <v>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2"/>
      <c r="AC4" s="2"/>
      <c r="AD4" s="2"/>
      <c r="AE4" s="2"/>
    </row>
    <row r="5" spans="2:31" ht="15.75" customHeight="1" thickBot="1">
      <c r="B5" s="104" t="s">
        <v>48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27.75" customHeight="1" thickBot="1">
      <c r="A7" s="35" t="s">
        <v>26</v>
      </c>
      <c r="B7" s="27" t="s">
        <v>6</v>
      </c>
      <c r="C7" s="38" t="s">
        <v>44</v>
      </c>
      <c r="D7" s="42" t="s">
        <v>45</v>
      </c>
      <c r="E7" s="57" t="s">
        <v>51</v>
      </c>
      <c r="F7" s="57" t="s">
        <v>53</v>
      </c>
      <c r="G7" s="57" t="s">
        <v>57</v>
      </c>
      <c r="H7" s="57" t="s">
        <v>58</v>
      </c>
      <c r="I7" s="57" t="s">
        <v>60</v>
      </c>
      <c r="J7" s="57" t="s">
        <v>67</v>
      </c>
      <c r="K7" s="57" t="s">
        <v>68</v>
      </c>
      <c r="L7" s="57" t="s">
        <v>76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7" t="s">
        <v>77</v>
      </c>
      <c r="Z7" s="86" t="s">
        <v>78</v>
      </c>
      <c r="AA7" s="1"/>
      <c r="AB7" s="1"/>
      <c r="AC7" s="1"/>
      <c r="AD7" s="1"/>
      <c r="AE7" s="1"/>
    </row>
    <row r="8" spans="1:26" ht="13.5" thickBot="1">
      <c r="A8" s="36" t="s">
        <v>27</v>
      </c>
      <c r="B8" s="28" t="s">
        <v>1</v>
      </c>
      <c r="C8" s="65">
        <v>42309.2</v>
      </c>
      <c r="D8" s="66">
        <v>289506.52</v>
      </c>
      <c r="E8" s="67">
        <v>290599.48</v>
      </c>
      <c r="F8" s="66">
        <v>292328.16</v>
      </c>
      <c r="G8" s="66">
        <v>291890.24</v>
      </c>
      <c r="H8" s="80">
        <v>291780.76</v>
      </c>
      <c r="I8" s="66">
        <v>295969.32</v>
      </c>
      <c r="J8" s="66">
        <v>292351.9</v>
      </c>
      <c r="K8" s="66">
        <v>280187.84</v>
      </c>
      <c r="L8" s="66">
        <v>280140</v>
      </c>
      <c r="M8" s="7">
        <v>21817.34</v>
      </c>
      <c r="N8" s="7">
        <v>21817.34</v>
      </c>
      <c r="O8" s="7">
        <v>21817.34</v>
      </c>
      <c r="P8" s="7">
        <v>21817.34</v>
      </c>
      <c r="Q8" s="7">
        <v>21817.34</v>
      </c>
      <c r="R8" s="7">
        <v>21817.34</v>
      </c>
      <c r="S8" s="7">
        <v>21817.34</v>
      </c>
      <c r="T8" s="7">
        <v>21813.9</v>
      </c>
      <c r="U8" s="7">
        <v>21813.9</v>
      </c>
      <c r="V8" s="7">
        <v>21813.9</v>
      </c>
      <c r="W8" s="7">
        <v>21813.9</v>
      </c>
      <c r="X8" s="7">
        <v>21813.9</v>
      </c>
      <c r="Y8" s="58">
        <f>SUM(M8:X8)</f>
        <v>261790.87999999998</v>
      </c>
      <c r="Z8" s="81">
        <f>SUM(C8:X8)</f>
        <v>2908854.2999999984</v>
      </c>
    </row>
    <row r="9" spans="1:26" ht="13.5" thickBot="1">
      <c r="A9" s="36"/>
      <c r="B9" s="28" t="s">
        <v>69</v>
      </c>
      <c r="C9" s="65"/>
      <c r="D9" s="80"/>
      <c r="E9" s="67"/>
      <c r="F9" s="80"/>
      <c r="G9" s="80"/>
      <c r="H9" s="80"/>
      <c r="I9" s="80"/>
      <c r="J9" s="80"/>
      <c r="K9" s="80">
        <v>29821.8</v>
      </c>
      <c r="L9" s="80">
        <v>20528.5</v>
      </c>
      <c r="M9" s="7">
        <f aca="true" t="shared" si="0" ref="M9:R9">102.7+149.77+421.62</f>
        <v>674.09</v>
      </c>
      <c r="N9" s="7">
        <f t="shared" si="0"/>
        <v>674.09</v>
      </c>
      <c r="O9" s="7">
        <f t="shared" si="0"/>
        <v>674.09</v>
      </c>
      <c r="P9" s="7">
        <f t="shared" si="0"/>
        <v>674.09</v>
      </c>
      <c r="Q9" s="7">
        <f t="shared" si="0"/>
        <v>674.09</v>
      </c>
      <c r="R9" s="7">
        <f t="shared" si="0"/>
        <v>674.09</v>
      </c>
      <c r="S9" s="8">
        <f>104.61+166.62+433.45</f>
        <v>704.6800000000001</v>
      </c>
      <c r="T9" s="8">
        <f>104.63+166.62+433.44</f>
        <v>704.69</v>
      </c>
      <c r="U9" s="8">
        <f>104.63+166.62+433.44</f>
        <v>704.69</v>
      </c>
      <c r="V9" s="8">
        <f>104.63+166.62+433.44</f>
        <v>704.69</v>
      </c>
      <c r="W9" s="8">
        <f>104.63+166.62+433.44</f>
        <v>704.69</v>
      </c>
      <c r="X9" s="8">
        <f>104.63+166.62+433.44</f>
        <v>704.69</v>
      </c>
      <c r="Y9" s="58">
        <f>SUM(M9:X9)</f>
        <v>8272.670000000002</v>
      </c>
      <c r="Z9" s="81">
        <f>SUM(C9:X9)</f>
        <v>58622.969999999994</v>
      </c>
    </row>
    <row r="10" spans="1:26" ht="13.5" thickBot="1">
      <c r="A10" s="36"/>
      <c r="B10" s="28" t="s">
        <v>70</v>
      </c>
      <c r="C10" s="65"/>
      <c r="D10" s="80"/>
      <c r="E10" s="67"/>
      <c r="F10" s="80"/>
      <c r="G10" s="80"/>
      <c r="H10" s="80"/>
      <c r="I10" s="80"/>
      <c r="J10" s="80"/>
      <c r="K10" s="80">
        <v>12064.91</v>
      </c>
      <c r="L10" s="80">
        <v>12406.51</v>
      </c>
      <c r="M10" s="7">
        <v>1058.6</v>
      </c>
      <c r="N10" s="7">
        <v>923.73</v>
      </c>
      <c r="O10" s="7">
        <v>923.73</v>
      </c>
      <c r="P10" s="7">
        <v>1058.6</v>
      </c>
      <c r="Q10" s="7">
        <v>923.73</v>
      </c>
      <c r="R10" s="7">
        <v>1193.47</v>
      </c>
      <c r="S10" s="8">
        <v>1066.03</v>
      </c>
      <c r="T10" s="8">
        <v>927.37</v>
      </c>
      <c r="U10" s="8">
        <v>927.37</v>
      </c>
      <c r="V10" s="8">
        <v>927.37</v>
      </c>
      <c r="W10" s="8">
        <v>1066.03</v>
      </c>
      <c r="X10" s="8">
        <v>927.37</v>
      </c>
      <c r="Y10" s="58">
        <f>SUM(M10:X10)</f>
        <v>11923.400000000001</v>
      </c>
      <c r="Z10" s="81">
        <f>SUM(C10:X10)</f>
        <v>36394.82</v>
      </c>
    </row>
    <row r="11" spans="1:26" s="93" customFormat="1" ht="13.5" thickBot="1">
      <c r="A11" s="87" t="s">
        <v>28</v>
      </c>
      <c r="B11" s="88" t="s">
        <v>2</v>
      </c>
      <c r="C11" s="89">
        <v>20015.44</v>
      </c>
      <c r="D11" s="90">
        <f aca="true" t="shared" si="1" ref="D11:M11">SUM(D12:D27)</f>
        <v>231416.13</v>
      </c>
      <c r="E11" s="89">
        <f t="shared" si="1"/>
        <v>278026.10000000003</v>
      </c>
      <c r="F11" s="90">
        <f t="shared" si="1"/>
        <v>319775.57</v>
      </c>
      <c r="G11" s="90">
        <f t="shared" si="1"/>
        <v>321396.26</v>
      </c>
      <c r="H11" s="90">
        <f t="shared" si="1"/>
        <v>356297.1</v>
      </c>
      <c r="I11" s="90">
        <f>SUM(I12:I27)</f>
        <v>340574.56999999995</v>
      </c>
      <c r="J11" s="90">
        <f>SUM(J12:J27)</f>
        <v>353274.12</v>
      </c>
      <c r="K11" s="90">
        <f>SUM(K12:K27)</f>
        <v>379074.20000000007</v>
      </c>
      <c r="L11" s="90">
        <f t="shared" si="1"/>
        <v>404519.20999999996</v>
      </c>
      <c r="M11" s="91">
        <f t="shared" si="1"/>
        <v>23935.809999999998</v>
      </c>
      <c r="N11" s="91">
        <f aca="true" t="shared" si="2" ref="N11:X11">SUM(N12:N27)</f>
        <v>28590.71</v>
      </c>
      <c r="O11" s="91">
        <f t="shared" si="2"/>
        <v>23368.89</v>
      </c>
      <c r="P11" s="91">
        <f t="shared" si="2"/>
        <v>26481.549999999996</v>
      </c>
      <c r="Q11" s="91">
        <f t="shared" si="2"/>
        <v>25230.51</v>
      </c>
      <c r="R11" s="91">
        <f t="shared" si="2"/>
        <v>26244.83</v>
      </c>
      <c r="S11" s="91">
        <f t="shared" si="2"/>
        <v>26208.410000000003</v>
      </c>
      <c r="T11" s="91">
        <f t="shared" si="2"/>
        <v>22235.47</v>
      </c>
      <c r="U11" s="91">
        <f t="shared" si="2"/>
        <v>26104.87</v>
      </c>
      <c r="V11" s="91">
        <f t="shared" si="2"/>
        <v>33319.35</v>
      </c>
      <c r="W11" s="91">
        <f t="shared" si="2"/>
        <v>23709.22</v>
      </c>
      <c r="X11" s="89">
        <f t="shared" si="2"/>
        <v>24297.21</v>
      </c>
      <c r="Y11" s="90">
        <f>SUM(M11:X11)</f>
        <v>309726.83</v>
      </c>
      <c r="Z11" s="92">
        <f>SUM(C11:X11)</f>
        <v>3314095.5300000007</v>
      </c>
    </row>
    <row r="12" spans="1:26" ht="13.5" thickBot="1">
      <c r="A12" s="36" t="s">
        <v>29</v>
      </c>
      <c r="B12" s="30" t="s">
        <v>79</v>
      </c>
      <c r="C12" s="46"/>
      <c r="D12" s="47">
        <v>50707.03</v>
      </c>
      <c r="E12" s="68">
        <v>58093.63</v>
      </c>
      <c r="F12" s="47">
        <v>59463.37</v>
      </c>
      <c r="G12" s="47">
        <v>70037.4</v>
      </c>
      <c r="H12" s="47">
        <v>70909.03</v>
      </c>
      <c r="I12" s="47">
        <v>64809.74</v>
      </c>
      <c r="J12" s="47">
        <v>62680.24</v>
      </c>
      <c r="K12" s="47">
        <v>66196.49</v>
      </c>
      <c r="L12" s="47">
        <v>64078.9</v>
      </c>
      <c r="M12" s="7"/>
      <c r="N12" s="8"/>
      <c r="O12" s="8"/>
      <c r="P12" s="8">
        <v>124.14</v>
      </c>
      <c r="Q12" s="8">
        <v>94.86</v>
      </c>
      <c r="R12" s="8">
        <v>39.25</v>
      </c>
      <c r="S12" s="8">
        <v>103.42</v>
      </c>
      <c r="T12" s="8">
        <v>76.4</v>
      </c>
      <c r="U12" s="8">
        <v>18.95</v>
      </c>
      <c r="V12" s="8">
        <v>67.76</v>
      </c>
      <c r="W12" s="8">
        <v>56.42</v>
      </c>
      <c r="X12" s="16">
        <v>38.21</v>
      </c>
      <c r="Y12" s="60">
        <f aca="true" t="shared" si="3" ref="Y12:Y29">SUM(M12:X12)</f>
        <v>619.4100000000001</v>
      </c>
      <c r="Z12" s="82">
        <f aca="true" t="shared" si="4" ref="Z12:Z27">SUM(C12:X12)</f>
        <v>567595.24</v>
      </c>
    </row>
    <row r="13" spans="1:26" ht="12.75" customHeight="1" thickBot="1">
      <c r="A13" s="36" t="s">
        <v>30</v>
      </c>
      <c r="B13" s="31" t="s">
        <v>61</v>
      </c>
      <c r="C13" s="48"/>
      <c r="D13" s="49">
        <v>72406.07</v>
      </c>
      <c r="E13" s="69">
        <v>29759.14</v>
      </c>
      <c r="F13" s="49">
        <f>233.44+2733.2</f>
        <v>2966.64</v>
      </c>
      <c r="G13" s="49">
        <f>7336.26+3860</f>
        <v>11196.26</v>
      </c>
      <c r="H13" s="49">
        <f>6067.84+4800</f>
        <v>10867.84</v>
      </c>
      <c r="I13" s="49">
        <v>13417.3</v>
      </c>
      <c r="J13" s="49">
        <v>4423.98</v>
      </c>
      <c r="K13" s="49">
        <v>2103.23</v>
      </c>
      <c r="L13" s="49">
        <v>1870.91</v>
      </c>
      <c r="M13" s="9"/>
      <c r="N13" s="10">
        <f>1200+2697.4</f>
        <v>3897.4</v>
      </c>
      <c r="O13" s="10"/>
      <c r="P13" s="10"/>
      <c r="Q13" s="10">
        <v>1330</v>
      </c>
      <c r="R13" s="10"/>
      <c r="S13" s="10"/>
      <c r="T13" s="10"/>
      <c r="U13" s="10"/>
      <c r="V13" s="10"/>
      <c r="W13" s="10"/>
      <c r="X13" s="17"/>
      <c r="Y13" s="60">
        <f t="shared" si="3"/>
        <v>5227.4</v>
      </c>
      <c r="Z13" s="82">
        <f t="shared" si="4"/>
        <v>154238.77000000002</v>
      </c>
    </row>
    <row r="14" spans="1:26" ht="21" customHeight="1" thickBot="1">
      <c r="A14" s="36" t="s">
        <v>31</v>
      </c>
      <c r="B14" s="29" t="s">
        <v>4</v>
      </c>
      <c r="C14" s="48"/>
      <c r="D14" s="49">
        <v>5999.4</v>
      </c>
      <c r="E14" s="69">
        <v>13121.19</v>
      </c>
      <c r="F14" s="49">
        <v>0</v>
      </c>
      <c r="G14" s="49">
        <v>8287.14</v>
      </c>
      <c r="H14" s="49"/>
      <c r="I14" s="49">
        <v>0</v>
      </c>
      <c r="J14" s="49">
        <v>11250.9</v>
      </c>
      <c r="K14" s="49">
        <v>0</v>
      </c>
      <c r="L14" s="49">
        <v>14143.23</v>
      </c>
      <c r="M14" s="9"/>
      <c r="N14" s="10"/>
      <c r="O14" s="10"/>
      <c r="P14" s="10"/>
      <c r="Q14" s="10"/>
      <c r="R14" s="10"/>
      <c r="S14" s="10"/>
      <c r="T14" s="10"/>
      <c r="U14" s="10"/>
      <c r="V14" s="10">
        <v>7807.6</v>
      </c>
      <c r="W14" s="10"/>
      <c r="X14" s="17"/>
      <c r="Y14" s="60">
        <f t="shared" si="3"/>
        <v>7807.6</v>
      </c>
      <c r="Z14" s="82">
        <f t="shared" si="4"/>
        <v>60609.46</v>
      </c>
    </row>
    <row r="15" spans="1:26" ht="15" customHeight="1" thickBot="1">
      <c r="A15" s="36" t="s">
        <v>63</v>
      </c>
      <c r="B15" s="29" t="s">
        <v>62</v>
      </c>
      <c r="C15" s="48"/>
      <c r="D15" s="49"/>
      <c r="E15" s="69"/>
      <c r="F15" s="49"/>
      <c r="G15" s="49"/>
      <c r="H15" s="49"/>
      <c r="I15" s="49">
        <v>2000</v>
      </c>
      <c r="J15" s="49">
        <v>4000</v>
      </c>
      <c r="K15" s="49">
        <v>2300</v>
      </c>
      <c r="L15" s="49">
        <v>2300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60">
        <f>SUM(M15:X15)</f>
        <v>0</v>
      </c>
      <c r="Z15" s="82">
        <f>SUM(C15:X15)</f>
        <v>10600</v>
      </c>
    </row>
    <row r="16" spans="1:26" ht="15.75" customHeight="1" thickBot="1">
      <c r="A16" s="36" t="s">
        <v>32</v>
      </c>
      <c r="B16" s="31" t="s">
        <v>55</v>
      </c>
      <c r="C16" s="48"/>
      <c r="D16" s="49">
        <v>10217.78</v>
      </c>
      <c r="E16" s="69">
        <v>13066.36</v>
      </c>
      <c r="F16" s="49">
        <v>42917.14</v>
      </c>
      <c r="G16" s="49">
        <v>7852.79</v>
      </c>
      <c r="H16" s="49">
        <v>41960.96</v>
      </c>
      <c r="I16" s="49">
        <v>16688.77</v>
      </c>
      <c r="J16" s="49">
        <v>28478.03</v>
      </c>
      <c r="K16" s="49">
        <v>38856.46</v>
      </c>
      <c r="L16" s="49">
        <v>42681.28</v>
      </c>
      <c r="M16" s="9">
        <v>300</v>
      </c>
      <c r="N16" s="10">
        <v>1991</v>
      </c>
      <c r="O16" s="10">
        <v>255</v>
      </c>
      <c r="P16" s="10">
        <v>3697.94</v>
      </c>
      <c r="Q16" s="10">
        <v>306.12</v>
      </c>
      <c r="R16" s="10">
        <v>3127.19</v>
      </c>
      <c r="S16" s="10">
        <v>2832.78</v>
      </c>
      <c r="T16" s="10"/>
      <c r="U16" s="10">
        <v>4239.27</v>
      </c>
      <c r="V16" s="10"/>
      <c r="W16" s="10">
        <v>337.46</v>
      </c>
      <c r="X16" s="17">
        <v>40</v>
      </c>
      <c r="Y16" s="60">
        <f t="shared" si="3"/>
        <v>17126.760000000002</v>
      </c>
      <c r="Z16" s="82">
        <f t="shared" si="4"/>
        <v>259846.32999999996</v>
      </c>
    </row>
    <row r="17" spans="1:26" ht="21.75" customHeight="1" thickBot="1">
      <c r="A17" s="36" t="s">
        <v>33</v>
      </c>
      <c r="B17" s="31" t="s">
        <v>50</v>
      </c>
      <c r="C17" s="48">
        <v>0</v>
      </c>
      <c r="D17" s="49">
        <v>0</v>
      </c>
      <c r="E17" s="69">
        <v>321.8</v>
      </c>
      <c r="F17" s="49">
        <v>256</v>
      </c>
      <c r="G17" s="49">
        <v>0</v>
      </c>
      <c r="H17" s="49">
        <v>10227.32</v>
      </c>
      <c r="I17" s="49">
        <v>900</v>
      </c>
      <c r="J17" s="49">
        <v>186</v>
      </c>
      <c r="K17" s="49">
        <v>296.72</v>
      </c>
      <c r="L17" s="49">
        <v>78</v>
      </c>
      <c r="M17" s="9">
        <v>189.73</v>
      </c>
      <c r="N17" s="10">
        <v>95.01</v>
      </c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60">
        <f t="shared" si="3"/>
        <v>284.74</v>
      </c>
      <c r="Z17" s="82">
        <f t="shared" si="4"/>
        <v>12550.579999999998</v>
      </c>
    </row>
    <row r="18" spans="1:26" ht="15" customHeight="1" thickBot="1">
      <c r="A18" s="36" t="s">
        <v>34</v>
      </c>
      <c r="B18" s="31" t="s">
        <v>71</v>
      </c>
      <c r="C18" s="48"/>
      <c r="D18" s="49">
        <v>6893.76</v>
      </c>
      <c r="E18" s="69">
        <v>7501.77</v>
      </c>
      <c r="F18" s="49">
        <v>4782.92</v>
      </c>
      <c r="G18" s="49">
        <v>0</v>
      </c>
      <c r="H18" s="49"/>
      <c r="I18" s="49">
        <v>0</v>
      </c>
      <c r="J18" s="49">
        <v>0</v>
      </c>
      <c r="K18" s="49">
        <v>21929.97</v>
      </c>
      <c r="L18" s="49">
        <v>12511.34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60">
        <f t="shared" si="3"/>
        <v>0</v>
      </c>
      <c r="Z18" s="82">
        <f t="shared" si="4"/>
        <v>53619.759999999995</v>
      </c>
    </row>
    <row r="19" spans="1:26" ht="16.5" customHeight="1" thickBot="1">
      <c r="A19" s="36"/>
      <c r="B19" s="31" t="s">
        <v>73</v>
      </c>
      <c r="C19" s="48"/>
      <c r="D19" s="49"/>
      <c r="E19" s="69"/>
      <c r="F19" s="49"/>
      <c r="G19" s="49"/>
      <c r="H19" s="49"/>
      <c r="I19" s="49"/>
      <c r="J19" s="49"/>
      <c r="K19" s="49">
        <v>1189.51</v>
      </c>
      <c r="L19" s="49">
        <v>1228.86</v>
      </c>
      <c r="M19" s="9">
        <v>102.72</v>
      </c>
      <c r="N19" s="9">
        <v>102.72</v>
      </c>
      <c r="O19" s="9">
        <v>102.72</v>
      </c>
      <c r="P19" s="9">
        <v>102.72</v>
      </c>
      <c r="Q19" s="9">
        <v>102.72</v>
      </c>
      <c r="R19" s="9">
        <v>102.72</v>
      </c>
      <c r="S19" s="9">
        <v>102.72</v>
      </c>
      <c r="T19" s="10">
        <v>106.48</v>
      </c>
      <c r="U19" s="10">
        <v>104.6</v>
      </c>
      <c r="V19" s="10">
        <v>104.6</v>
      </c>
      <c r="W19" s="10">
        <v>104.6</v>
      </c>
      <c r="X19" s="10">
        <v>104.6</v>
      </c>
      <c r="Y19" s="60">
        <f>SUM(M19:X19)</f>
        <v>1243.9199999999998</v>
      </c>
      <c r="Z19" s="82">
        <f>SUM(C19:X19)</f>
        <v>3662.289999999998</v>
      </c>
    </row>
    <row r="20" spans="1:26" ht="16.5" customHeight="1" thickBot="1">
      <c r="A20" s="36"/>
      <c r="B20" s="31" t="s">
        <v>72</v>
      </c>
      <c r="C20" s="48"/>
      <c r="D20" s="49"/>
      <c r="E20" s="69"/>
      <c r="F20" s="49"/>
      <c r="G20" s="49"/>
      <c r="H20" s="49"/>
      <c r="I20" s="49"/>
      <c r="J20" s="49"/>
      <c r="K20" s="49">
        <v>5874.36</v>
      </c>
      <c r="L20" s="49">
        <v>5184.75</v>
      </c>
      <c r="M20" s="9">
        <v>437.3</v>
      </c>
      <c r="N20" s="9">
        <v>437.3</v>
      </c>
      <c r="O20" s="9">
        <v>437.3</v>
      </c>
      <c r="P20" s="9">
        <v>437.3</v>
      </c>
      <c r="Q20" s="9">
        <v>437.3</v>
      </c>
      <c r="R20" s="9">
        <v>437.3</v>
      </c>
      <c r="S20" s="9">
        <v>459.67</v>
      </c>
      <c r="T20" s="10">
        <v>459.66</v>
      </c>
      <c r="U20" s="10">
        <v>459.66</v>
      </c>
      <c r="V20" s="10">
        <v>449.57</v>
      </c>
      <c r="W20" s="10">
        <v>449.57</v>
      </c>
      <c r="X20" s="10">
        <v>449.57</v>
      </c>
      <c r="Y20" s="60">
        <f>SUM(M20:X20)</f>
        <v>5351.499999999999</v>
      </c>
      <c r="Z20" s="82">
        <f>SUM(C20:X20)</f>
        <v>16410.609999999997</v>
      </c>
    </row>
    <row r="21" spans="1:26" ht="16.5" customHeight="1" thickBot="1">
      <c r="A21" s="36"/>
      <c r="B21" s="31" t="s">
        <v>74</v>
      </c>
      <c r="C21" s="48"/>
      <c r="D21" s="49"/>
      <c r="E21" s="69"/>
      <c r="F21" s="49"/>
      <c r="G21" s="49"/>
      <c r="H21" s="49"/>
      <c r="I21" s="49"/>
      <c r="J21" s="49"/>
      <c r="K21" s="49">
        <v>1035.93</v>
      </c>
      <c r="L21" s="49">
        <v>1789.5</v>
      </c>
      <c r="M21" s="9">
        <v>149.76</v>
      </c>
      <c r="N21" s="9">
        <v>149.76</v>
      </c>
      <c r="O21" s="9">
        <v>149.76</v>
      </c>
      <c r="P21" s="9">
        <v>149.76</v>
      </c>
      <c r="Q21" s="9">
        <v>149.76</v>
      </c>
      <c r="R21" s="9">
        <v>149.76</v>
      </c>
      <c r="S21" s="9">
        <v>149.76</v>
      </c>
      <c r="T21" s="10">
        <v>166.63</v>
      </c>
      <c r="U21" s="10">
        <v>166.63</v>
      </c>
      <c r="V21" s="10">
        <v>166.63</v>
      </c>
      <c r="W21" s="10">
        <v>166.63</v>
      </c>
      <c r="X21" s="10">
        <v>166.63</v>
      </c>
      <c r="Y21" s="60">
        <f>SUM(M21:X21)</f>
        <v>1881.4700000000003</v>
      </c>
      <c r="Z21" s="82">
        <f>SUM(C21:X21)</f>
        <v>4706.900000000002</v>
      </c>
    </row>
    <row r="22" spans="1:26" ht="11.25" customHeight="1" thickBot="1">
      <c r="A22" s="36" t="s">
        <v>35</v>
      </c>
      <c r="B22" s="31" t="s">
        <v>5</v>
      </c>
      <c r="C22" s="48"/>
      <c r="D22" s="49">
        <v>1537.77</v>
      </c>
      <c r="E22" s="69">
        <v>2393.01</v>
      </c>
      <c r="F22" s="49">
        <v>1801.46</v>
      </c>
      <c r="G22" s="49">
        <v>1068.65</v>
      </c>
      <c r="H22" s="49">
        <v>1013.87</v>
      </c>
      <c r="I22" s="49">
        <v>3546.69</v>
      </c>
      <c r="J22" s="49">
        <v>652.31</v>
      </c>
      <c r="K22" s="49">
        <v>1154.39</v>
      </c>
      <c r="L22" s="49">
        <v>940.41</v>
      </c>
      <c r="M22" s="9"/>
      <c r="N22" s="10"/>
      <c r="O22" s="10">
        <v>301.53</v>
      </c>
      <c r="P22" s="10"/>
      <c r="Q22" s="10">
        <v>301.5</v>
      </c>
      <c r="R22" s="10"/>
      <c r="S22" s="10"/>
      <c r="T22" s="10"/>
      <c r="U22" s="10">
        <v>273.74</v>
      </c>
      <c r="V22" s="10"/>
      <c r="W22" s="10">
        <v>317.4</v>
      </c>
      <c r="X22" s="17"/>
      <c r="Y22" s="60">
        <f t="shared" si="3"/>
        <v>1194.17</v>
      </c>
      <c r="Z22" s="82">
        <f t="shared" si="4"/>
        <v>15302.729999999998</v>
      </c>
    </row>
    <row r="23" spans="1:26" ht="21" customHeight="1" thickBot="1">
      <c r="A23" s="36" t="s">
        <v>36</v>
      </c>
      <c r="B23" s="31" t="s">
        <v>75</v>
      </c>
      <c r="C23" s="48"/>
      <c r="D23" s="49">
        <v>3569.15</v>
      </c>
      <c r="E23" s="69">
        <v>12721.6</v>
      </c>
      <c r="F23" s="49">
        <v>16273.16</v>
      </c>
      <c r="G23" s="49">
        <v>14655.21</v>
      </c>
      <c r="H23" s="49">
        <v>10390.57</v>
      </c>
      <c r="I23" s="49">
        <v>12208.66</v>
      </c>
      <c r="J23" s="49">
        <v>12902.71</v>
      </c>
      <c r="K23" s="49">
        <v>13104.16</v>
      </c>
      <c r="L23" s="49">
        <v>13767.94</v>
      </c>
      <c r="M23" s="9">
        <v>1108.77</v>
      </c>
      <c r="N23" s="10">
        <v>1162.25</v>
      </c>
      <c r="O23" s="10">
        <v>922.84</v>
      </c>
      <c r="P23" s="10">
        <v>1105.23</v>
      </c>
      <c r="Q23" s="10">
        <v>919.44</v>
      </c>
      <c r="R23" s="10">
        <v>704.97</v>
      </c>
      <c r="S23" s="10">
        <v>736.82</v>
      </c>
      <c r="T23" s="10">
        <v>624.41</v>
      </c>
      <c r="U23" s="10">
        <v>702.1</v>
      </c>
      <c r="V23" s="10">
        <v>1453.92</v>
      </c>
      <c r="W23" s="10">
        <v>919.34</v>
      </c>
      <c r="X23" s="17">
        <v>782.17</v>
      </c>
      <c r="Y23" s="60">
        <f t="shared" si="3"/>
        <v>11142.26</v>
      </c>
      <c r="Z23" s="82">
        <f t="shared" si="4"/>
        <v>120735.42000000001</v>
      </c>
    </row>
    <row r="24" spans="1:26" ht="21" customHeight="1" thickBot="1">
      <c r="A24" s="36" t="s">
        <v>37</v>
      </c>
      <c r="B24" s="31" t="s">
        <v>64</v>
      </c>
      <c r="C24" s="48"/>
      <c r="D24" s="49">
        <v>6427.79</v>
      </c>
      <c r="E24" s="69">
        <v>10795.45</v>
      </c>
      <c r="F24" s="49">
        <v>2071.09</v>
      </c>
      <c r="G24" s="49">
        <v>1469.85</v>
      </c>
      <c r="H24" s="49">
        <v>3123.66</v>
      </c>
      <c r="I24" s="49">
        <v>2104.05</v>
      </c>
      <c r="J24" s="49">
        <v>1835.52</v>
      </c>
      <c r="K24" s="49">
        <v>1433.39</v>
      </c>
      <c r="L24" s="49">
        <v>1388.86</v>
      </c>
      <c r="M24" s="9">
        <v>87.73</v>
      </c>
      <c r="N24" s="10">
        <v>75.64</v>
      </c>
      <c r="O24" s="10">
        <v>65.91</v>
      </c>
      <c r="P24" s="10">
        <v>76.69</v>
      </c>
      <c r="Q24" s="10">
        <v>8.1</v>
      </c>
      <c r="R24" s="10">
        <v>114.95</v>
      </c>
      <c r="S24" s="10">
        <v>128.92</v>
      </c>
      <c r="T24" s="10">
        <v>150.13</v>
      </c>
      <c r="U24" s="10">
        <v>223.14</v>
      </c>
      <c r="V24" s="10">
        <v>55.18</v>
      </c>
      <c r="W24" s="10">
        <v>203.64</v>
      </c>
      <c r="X24" s="17">
        <v>71.67</v>
      </c>
      <c r="Y24" s="60">
        <f t="shared" si="3"/>
        <v>1261.7</v>
      </c>
      <c r="Z24" s="82">
        <f t="shared" si="4"/>
        <v>31911.359999999993</v>
      </c>
    </row>
    <row r="25" spans="1:26" ht="34.5" thickBot="1">
      <c r="A25" s="36" t="s">
        <v>38</v>
      </c>
      <c r="B25" s="31" t="s">
        <v>66</v>
      </c>
      <c r="C25" s="48"/>
      <c r="D25" s="49">
        <v>5306.02</v>
      </c>
      <c r="E25" s="69">
        <v>10880.21</v>
      </c>
      <c r="F25" s="49">
        <v>10762.34</v>
      </c>
      <c r="G25" s="49">
        <v>14418.56</v>
      </c>
      <c r="H25" s="49">
        <v>12121.62</v>
      </c>
      <c r="I25" s="49">
        <v>15648.71</v>
      </c>
      <c r="J25" s="49">
        <v>13426.23</v>
      </c>
      <c r="K25" s="49">
        <v>14137.23</v>
      </c>
      <c r="L25" s="49">
        <v>15483.08</v>
      </c>
      <c r="M25" s="9">
        <f>54.76+530.56+653.51</f>
        <v>1238.83</v>
      </c>
      <c r="N25" s="10">
        <f>51.61+739.22+633.52</f>
        <v>1424.35</v>
      </c>
      <c r="O25" s="10">
        <f>660.71+44.89+492.86</f>
        <v>1198.46</v>
      </c>
      <c r="P25" s="10">
        <f>48.01+544.91+1750.83</f>
        <v>2343.75</v>
      </c>
      <c r="Q25" s="10">
        <f>46.86+601.68+474.52</f>
        <v>1123.06</v>
      </c>
      <c r="R25" s="10">
        <f>54.46+418.76+840.2</f>
        <v>1313.42</v>
      </c>
      <c r="S25" s="10">
        <f>52.36+709.26+382.65</f>
        <v>1144.27</v>
      </c>
      <c r="T25" s="10">
        <f>47.96+435.92+609.9</f>
        <v>1093.78</v>
      </c>
      <c r="U25" s="10">
        <f>34.9+387.69+555.35</f>
        <v>977.94</v>
      </c>
      <c r="V25" s="10">
        <f>35.38+621.04+1578.02</f>
        <v>2234.44</v>
      </c>
      <c r="W25" s="10">
        <f>39.11+390.51+406.43</f>
        <v>836.05</v>
      </c>
      <c r="X25" s="17">
        <f>39.02+1181.03+682.19</f>
        <v>1902.24</v>
      </c>
      <c r="Y25" s="60">
        <f t="shared" si="3"/>
        <v>16830.59</v>
      </c>
      <c r="Z25" s="82">
        <f t="shared" si="4"/>
        <v>129014.59000000001</v>
      </c>
    </row>
    <row r="26" spans="1:26" ht="12" customHeight="1" thickBot="1">
      <c r="A26" s="36" t="s">
        <v>54</v>
      </c>
      <c r="B26" s="31" t="s">
        <v>8</v>
      </c>
      <c r="C26" s="48"/>
      <c r="D26" s="49">
        <v>57779.36</v>
      </c>
      <c r="E26" s="69">
        <v>101482.1</v>
      </c>
      <c r="F26" s="49">
        <v>135207.16</v>
      </c>
      <c r="G26" s="49">
        <v>142453.99</v>
      </c>
      <c r="H26" s="49">
        <v>142672.01</v>
      </c>
      <c r="I26" s="49">
        <v>155217.8</v>
      </c>
      <c r="J26" s="49">
        <v>150596.5</v>
      </c>
      <c r="K26" s="49">
        <v>150353.21</v>
      </c>
      <c r="L26" s="49">
        <v>161329.66</v>
      </c>
      <c r="M26" s="9">
        <f>23935.81-8945.74</f>
        <v>14990.070000000002</v>
      </c>
      <c r="N26" s="10">
        <f>28590.71-14468.83-95.01</f>
        <v>14026.869999999999</v>
      </c>
      <c r="O26" s="10">
        <f>23368.89-9254.85</f>
        <v>14114.039999999999</v>
      </c>
      <c r="P26" s="10">
        <f>26481.55-13301.93</f>
        <v>13179.619999999999</v>
      </c>
      <c r="Q26" s="10">
        <f>25230.51-10351.48</f>
        <v>14879.029999999999</v>
      </c>
      <c r="R26" s="10">
        <f>26244.83-11692.66</f>
        <v>14552.170000000002</v>
      </c>
      <c r="S26" s="10">
        <f>26208.41-11075.44</f>
        <v>15132.97</v>
      </c>
      <c r="T26" s="10">
        <f>22235.47-7684.32</f>
        <v>14551.150000000001</v>
      </c>
      <c r="U26" s="10">
        <f>26104.87-11978.98</f>
        <v>14125.89</v>
      </c>
      <c r="V26" s="10">
        <f>33319.35-18278.51</f>
        <v>15040.84</v>
      </c>
      <c r="W26" s="10">
        <f>23709.22-8620.28</f>
        <v>15088.94</v>
      </c>
      <c r="X26" s="17">
        <f>24297.21-9341.7</f>
        <v>14955.509999999998</v>
      </c>
      <c r="Y26" s="60">
        <f t="shared" si="3"/>
        <v>174637.10000000003</v>
      </c>
      <c r="Z26" s="82">
        <f>SUM(C26:X26)</f>
        <v>1371728.89</v>
      </c>
    </row>
    <row r="27" spans="1:26" ht="13.5" customHeight="1" thickBot="1">
      <c r="A27" s="36" t="s">
        <v>56</v>
      </c>
      <c r="B27" s="32" t="s">
        <v>3</v>
      </c>
      <c r="C27" s="50"/>
      <c r="D27" s="51">
        <v>10572</v>
      </c>
      <c r="E27" s="70">
        <v>17889.84</v>
      </c>
      <c r="F27" s="51">
        <v>43274.29</v>
      </c>
      <c r="G27" s="51">
        <v>49956.41</v>
      </c>
      <c r="H27" s="51">
        <v>53010.22</v>
      </c>
      <c r="I27" s="51">
        <v>54032.85</v>
      </c>
      <c r="J27" s="51">
        <v>62841.7</v>
      </c>
      <c r="K27" s="51">
        <v>59109.15</v>
      </c>
      <c r="L27" s="51">
        <v>65742.49</v>
      </c>
      <c r="M27" s="11">
        <f>4574.4+24.16+732.34</f>
        <v>5330.9</v>
      </c>
      <c r="N27" s="12">
        <f>4410.4+25.15+792.86</f>
        <v>5228.409999999999</v>
      </c>
      <c r="O27" s="12">
        <f>4868.2+30.41+922.72</f>
        <v>5821.33</v>
      </c>
      <c r="P27" s="12">
        <f>4437.6+27.23+799.57</f>
        <v>5264.4</v>
      </c>
      <c r="Q27" s="12">
        <f>4694.2+29.7+854.72</f>
        <v>5578.62</v>
      </c>
      <c r="R27" s="12">
        <f>4807.9+27.53+867.67</f>
        <v>5703.099999999999</v>
      </c>
      <c r="S27" s="12">
        <f>4567.3+25.47+824.31</f>
        <v>5417.08</v>
      </c>
      <c r="T27" s="12">
        <f>4215.1+24.35+767.38</f>
        <v>5006.830000000001</v>
      </c>
      <c r="U27" s="12">
        <f>4019.6+24.48+768.87</f>
        <v>4812.95</v>
      </c>
      <c r="V27" s="12">
        <f>4993.9+29.42+915.49</f>
        <v>5938.8099999999995</v>
      </c>
      <c r="W27" s="12">
        <f>4421.9+23.83+783.44</f>
        <v>5229.17</v>
      </c>
      <c r="X27" s="19">
        <f>4867.2+28.77+890.64</f>
        <v>5786.610000000001</v>
      </c>
      <c r="Y27" s="60">
        <f t="shared" si="3"/>
        <v>65118.20999999999</v>
      </c>
      <c r="Z27" s="82">
        <f t="shared" si="4"/>
        <v>481547.16000000003</v>
      </c>
    </row>
    <row r="28" spans="1:26" ht="13.5" customHeight="1" thickBot="1">
      <c r="A28" s="36"/>
      <c r="B28" s="43" t="s">
        <v>59</v>
      </c>
      <c r="C28" s="72"/>
      <c r="D28" s="73"/>
      <c r="E28" s="74"/>
      <c r="F28" s="73"/>
      <c r="G28" s="73"/>
      <c r="H28" s="75">
        <f>H8*5%</f>
        <v>14589.038</v>
      </c>
      <c r="I28" s="75">
        <f>I8*5%</f>
        <v>14798.466</v>
      </c>
      <c r="J28" s="77">
        <f>J8*5%</f>
        <v>14617.595000000001</v>
      </c>
      <c r="K28" s="77">
        <f>K8*5%</f>
        <v>14009.392000000002</v>
      </c>
      <c r="L28" s="77">
        <f>L8*5%</f>
        <v>14007</v>
      </c>
      <c r="M28" s="75">
        <f>(M8+M9+M10)*5%</f>
        <v>1177.5015</v>
      </c>
      <c r="N28" s="75">
        <f aca="true" t="shared" si="5" ref="N28:X28">(N8+N9+N10)*5%</f>
        <v>1170.758</v>
      </c>
      <c r="O28" s="75">
        <f t="shared" si="5"/>
        <v>1170.758</v>
      </c>
      <c r="P28" s="75">
        <f t="shared" si="5"/>
        <v>1177.5015</v>
      </c>
      <c r="Q28" s="75">
        <f t="shared" si="5"/>
        <v>1170.758</v>
      </c>
      <c r="R28" s="75">
        <f t="shared" si="5"/>
        <v>1184.2450000000001</v>
      </c>
      <c r="S28" s="75">
        <f t="shared" si="5"/>
        <v>1179.4025</v>
      </c>
      <c r="T28" s="75">
        <f t="shared" si="5"/>
        <v>1172.298</v>
      </c>
      <c r="U28" s="75">
        <f t="shared" si="5"/>
        <v>1172.298</v>
      </c>
      <c r="V28" s="75">
        <f t="shared" si="5"/>
        <v>1172.298</v>
      </c>
      <c r="W28" s="75">
        <f t="shared" si="5"/>
        <v>1179.231</v>
      </c>
      <c r="X28" s="75">
        <f t="shared" si="5"/>
        <v>1172.298</v>
      </c>
      <c r="Y28" s="79">
        <f t="shared" si="3"/>
        <v>14099.347500000002</v>
      </c>
      <c r="Z28" s="83"/>
    </row>
    <row r="29" spans="1:26" ht="15.75" customHeight="1" thickBot="1">
      <c r="A29" s="36" t="s">
        <v>39</v>
      </c>
      <c r="B29" s="62" t="s">
        <v>52</v>
      </c>
      <c r="C29" s="63"/>
      <c r="D29" s="64"/>
      <c r="E29" s="71"/>
      <c r="F29" s="64"/>
      <c r="G29" s="64"/>
      <c r="H29" s="64"/>
      <c r="I29" s="64"/>
      <c r="J29" s="64"/>
      <c r="K29" s="85">
        <f aca="true" t="shared" si="6" ref="K29:X29">SUM(K8+K9+K10-K11)-K28</f>
        <v>-71009.04200000009</v>
      </c>
      <c r="L29" s="85">
        <f>SUM(L8+L9+L10-L11)-L28</f>
        <v>-105451.19999999995</v>
      </c>
      <c r="M29" s="76">
        <f t="shared" si="6"/>
        <v>-1563.281499999999</v>
      </c>
      <c r="N29" s="76">
        <f t="shared" si="6"/>
        <v>-6346.307999999999</v>
      </c>
      <c r="O29" s="76">
        <f t="shared" si="6"/>
        <v>-1124.4879999999996</v>
      </c>
      <c r="P29" s="76">
        <f t="shared" si="6"/>
        <v>-4109.021499999997</v>
      </c>
      <c r="Q29" s="76">
        <f t="shared" si="6"/>
        <v>-2986.1079999999984</v>
      </c>
      <c r="R29" s="76">
        <f t="shared" si="6"/>
        <v>-3744.175</v>
      </c>
      <c r="S29" s="76">
        <f t="shared" si="6"/>
        <v>-3799.7625000000044</v>
      </c>
      <c r="T29" s="76">
        <f t="shared" si="6"/>
        <v>38.19199999999796</v>
      </c>
      <c r="U29" s="76">
        <f t="shared" si="6"/>
        <v>-3831.2079999999996</v>
      </c>
      <c r="V29" s="76">
        <f t="shared" si="6"/>
        <v>-11045.688</v>
      </c>
      <c r="W29" s="76">
        <f t="shared" si="6"/>
        <v>-1303.8310000000022</v>
      </c>
      <c r="X29" s="76">
        <f t="shared" si="6"/>
        <v>-2023.548</v>
      </c>
      <c r="Y29" s="77">
        <f t="shared" si="3"/>
        <v>-41839.22750000001</v>
      </c>
      <c r="Z29" s="83"/>
    </row>
    <row r="30" spans="1:26" ht="24.75" customHeight="1" thickBot="1">
      <c r="A30" s="36" t="s">
        <v>40</v>
      </c>
      <c r="B30" s="94" t="s">
        <v>22</v>
      </c>
      <c r="C30" s="95">
        <v>22293.76</v>
      </c>
      <c r="D30" s="96">
        <v>58090.39</v>
      </c>
      <c r="E30" s="97">
        <f>SUM(E8-E11)</f>
        <v>12573.379999999946</v>
      </c>
      <c r="F30" s="98">
        <f>SUM(F8-F11)</f>
        <v>-27447.410000000033</v>
      </c>
      <c r="G30" s="98">
        <f>SUM(G8-G11)</f>
        <v>-29506.02000000002</v>
      </c>
      <c r="H30" s="99">
        <f>SUM(H8-H11)-H28</f>
        <v>-79105.37799999997</v>
      </c>
      <c r="I30" s="99">
        <f>SUM(I8-I11)-I28</f>
        <v>-59403.71599999994</v>
      </c>
      <c r="J30" s="100">
        <f>SUM(J8-J11)-J28</f>
        <v>-75539.81499999997</v>
      </c>
      <c r="K30" s="99">
        <f>SUM(K8+K9+K10-K11)-K28</f>
        <v>-71009.04200000009</v>
      </c>
      <c r="L30" s="99">
        <f>SUM(L8+L9+L10-L11)-L28</f>
        <v>-105451.19999999995</v>
      </c>
      <c r="M30" s="101">
        <f>SUM(M8+M9+M10-M11)-M28</f>
        <v>-1563.281499999999</v>
      </c>
      <c r="N30" s="102">
        <f>SUM(N29+M30)</f>
        <v>-7909.589499999998</v>
      </c>
      <c r="O30" s="102">
        <f aca="true" t="shared" si="7" ref="O30:X30">SUM(O29+N30)</f>
        <v>-9034.077499999998</v>
      </c>
      <c r="P30" s="102">
        <f t="shared" si="7"/>
        <v>-13143.098999999995</v>
      </c>
      <c r="Q30" s="102">
        <f t="shared" si="7"/>
        <v>-16129.206999999993</v>
      </c>
      <c r="R30" s="102">
        <f t="shared" si="7"/>
        <v>-19873.381999999994</v>
      </c>
      <c r="S30" s="102">
        <f t="shared" si="7"/>
        <v>-23673.1445</v>
      </c>
      <c r="T30" s="102">
        <f t="shared" si="7"/>
        <v>-23634.9525</v>
      </c>
      <c r="U30" s="102">
        <f t="shared" si="7"/>
        <v>-27466.160499999998</v>
      </c>
      <c r="V30" s="102">
        <f t="shared" si="7"/>
        <v>-38511.8485</v>
      </c>
      <c r="W30" s="102">
        <f t="shared" si="7"/>
        <v>-39815.679500000006</v>
      </c>
      <c r="X30" s="102">
        <f t="shared" si="7"/>
        <v>-41839.22750000001</v>
      </c>
      <c r="Y30" s="98"/>
      <c r="Z30" s="103"/>
    </row>
    <row r="31" spans="1:26" ht="24" customHeight="1" thickBot="1">
      <c r="A31" s="36" t="s">
        <v>41</v>
      </c>
      <c r="B31" s="52" t="s">
        <v>23</v>
      </c>
      <c r="C31" s="39">
        <v>22293.76</v>
      </c>
      <c r="D31" s="43">
        <v>80384.15</v>
      </c>
      <c r="E31" s="18">
        <f>SUM(E8-E11,D31)</f>
        <v>92957.52999999994</v>
      </c>
      <c r="F31" s="60">
        <f>SUM(F8-F11,E31)</f>
        <v>65510.11999999991</v>
      </c>
      <c r="G31" s="60">
        <f>SUM(G8-G11,F31)</f>
        <v>36004.09999999989</v>
      </c>
      <c r="H31" s="75">
        <f>SUM(H30+G31)</f>
        <v>-43101.27800000008</v>
      </c>
      <c r="I31" s="75">
        <f>SUM(I30+H31)</f>
        <v>-102504.99400000002</v>
      </c>
      <c r="J31" s="75">
        <f>SUM(J30+I31)</f>
        <v>-178044.809</v>
      </c>
      <c r="K31" s="75">
        <f>SUM(K30+J31)</f>
        <v>-249053.85100000008</v>
      </c>
      <c r="L31" s="75">
        <f>SUM(L30+K31)+699.9</f>
        <v>-353805.151</v>
      </c>
      <c r="M31" s="75">
        <f>SUM(M30+L31)</f>
        <v>-355368.4325</v>
      </c>
      <c r="N31" s="78">
        <f>SUM(N29+M31)</f>
        <v>-361714.7405</v>
      </c>
      <c r="O31" s="78">
        <f aca="true" t="shared" si="8" ref="O31:W31">SUM(O29+N31)</f>
        <v>-362839.2285</v>
      </c>
      <c r="P31" s="78">
        <f t="shared" si="8"/>
        <v>-366948.25</v>
      </c>
      <c r="Q31" s="78">
        <f t="shared" si="8"/>
        <v>-369934.358</v>
      </c>
      <c r="R31" s="78">
        <f t="shared" si="8"/>
        <v>-373678.533</v>
      </c>
      <c r="S31" s="78">
        <f t="shared" si="8"/>
        <v>-377478.2955</v>
      </c>
      <c r="T31" s="78">
        <f t="shared" si="8"/>
        <v>-377440.1035</v>
      </c>
      <c r="U31" s="78">
        <f t="shared" si="8"/>
        <v>-381271.3115</v>
      </c>
      <c r="V31" s="78">
        <f t="shared" si="8"/>
        <v>-392316.99950000003</v>
      </c>
      <c r="W31" s="78">
        <f t="shared" si="8"/>
        <v>-393620.83050000004</v>
      </c>
      <c r="X31" s="78">
        <f>SUM(X29+W31)</f>
        <v>-395644.37850000005</v>
      </c>
      <c r="Y31" s="60"/>
      <c r="Z31" s="84"/>
    </row>
    <row r="32" spans="1:26" ht="9" customHeight="1" hidden="1" thickBot="1">
      <c r="A32" s="36" t="s">
        <v>42</v>
      </c>
      <c r="B32" s="52" t="s">
        <v>7</v>
      </c>
      <c r="C32" s="40"/>
      <c r="D32" s="44"/>
      <c r="E32" s="44"/>
      <c r="F32" s="40"/>
      <c r="G32" s="40"/>
      <c r="H32" s="40"/>
      <c r="I32" s="40"/>
      <c r="J32" s="40"/>
      <c r="K32" s="40"/>
      <c r="L32" s="40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59"/>
      <c r="Z32" s="54"/>
    </row>
    <row r="33" spans="1:26" ht="15" customHeight="1" hidden="1" thickBot="1">
      <c r="A33" s="37" t="s">
        <v>43</v>
      </c>
      <c r="B33" s="33" t="s">
        <v>24</v>
      </c>
      <c r="C33" s="40"/>
      <c r="D33" s="44"/>
      <c r="E33" s="44"/>
      <c r="F33" s="40"/>
      <c r="G33" s="40"/>
      <c r="H33" s="40"/>
      <c r="I33" s="40"/>
      <c r="J33" s="40"/>
      <c r="K33" s="40"/>
      <c r="L33" s="40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0"/>
      <c r="Y33" s="60"/>
      <c r="Z33" s="55"/>
    </row>
    <row r="34" spans="1:26" ht="24" customHeight="1" hidden="1" thickBot="1">
      <c r="A34" s="37" t="s">
        <v>46</v>
      </c>
      <c r="B34" s="34" t="s">
        <v>47</v>
      </c>
      <c r="C34" s="41"/>
      <c r="D34" s="45"/>
      <c r="E34" s="45"/>
      <c r="F34" s="41"/>
      <c r="G34" s="41"/>
      <c r="H34" s="41"/>
      <c r="I34" s="41"/>
      <c r="J34" s="41"/>
      <c r="K34" s="41"/>
      <c r="L34" s="4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>
        <f>SUM(X30-X32)</f>
        <v>-41839.22750000001</v>
      </c>
      <c r="Y34" s="61"/>
      <c r="Z34" s="56"/>
    </row>
    <row r="35" spans="1:26" ht="24" customHeight="1" hidden="1" thickBot="1">
      <c r="A35" s="53" t="s">
        <v>49</v>
      </c>
      <c r="B35" s="34" t="s">
        <v>25</v>
      </c>
      <c r="C35" s="41"/>
      <c r="D35" s="45"/>
      <c r="E35" s="45"/>
      <c r="F35" s="41"/>
      <c r="G35" s="41"/>
      <c r="H35" s="41"/>
      <c r="I35" s="41"/>
      <c r="J35" s="41"/>
      <c r="K35" s="41"/>
      <c r="L35" s="4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>
        <f>SUM(X31-X32)</f>
        <v>-395644.37850000005</v>
      </c>
      <c r="Y35" s="61"/>
      <c r="Z35" s="56"/>
    </row>
    <row r="36" spans="3:26" ht="0.75" customHeight="1" hidden="1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  <row r="37" ht="17.25" customHeight="1" hidden="1"/>
    <row r="38" ht="0.75" customHeight="1" hidden="1"/>
    <row r="39" ht="12.75" hidden="1"/>
    <row r="40" ht="12.75" hidden="1"/>
    <row r="41" ht="12.75">
      <c r="B41" t="s">
        <v>65</v>
      </c>
    </row>
    <row r="45" ht="12.75" customHeight="1"/>
    <row r="46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2020-02-21T06:03:44Z</cp:lastPrinted>
  <dcterms:created xsi:type="dcterms:W3CDTF">2011-06-16T11:06:26Z</dcterms:created>
  <dcterms:modified xsi:type="dcterms:W3CDTF">2020-02-21T06:03:47Z</dcterms:modified>
  <cp:category/>
  <cp:version/>
  <cp:contentType/>
  <cp:contentStatus/>
</cp:coreProperties>
</file>