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<sst xmlns="http://schemas.openxmlformats.org/spreadsheetml/2006/main" count="79" uniqueCount="79">
  <si>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</si>
  <si>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</si>
  <si>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</si>
  <si>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</si>
  <si>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</si>
  <si>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</si>
  <si>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</si>
  <si>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</si>
  <si>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</si>
  <si>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</si>
  <si>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</si>
  <si>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</si>
  <si>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</si>
  <si>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</si>
  <si>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</si>
  <si>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</si>
  <si>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</si>
  <si>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</si>
  <si>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</si>
  <si>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</si>
  <si>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</si>
  <si>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</si>
  <si>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</si>
  <si>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</si>
  <si>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</si>
  <si>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</si>
  <si>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</si>
  <si>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</si>
  <si>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</si>
  <si>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</si>
  <si>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</si>
  <si>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</si>
  <si>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</si>
  <si>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</si>
  <si>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</si>
  <si>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</si>
  <si>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</si>
  <si>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</si>
  <si>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</si>
  <si>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</si>
  <si>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</si>
  <si>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</si>
  <si>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</si>
  <si>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</si>
  <si>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</si>
  <si>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</si>
  <si>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</si>
  <si>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Пролетарская д.5 А/1</t>
  </si>
  <si>
    <t>11</t>
  </si>
  <si>
    <t>Благоустройство территории</t>
  </si>
  <si>
    <t>Итого за 2011 г</t>
  </si>
  <si>
    <t>Результат за месяц</t>
  </si>
  <si>
    <t>Итого за 2012 г</t>
  </si>
  <si>
    <t>4.12</t>
  </si>
  <si>
    <t>4.13</t>
  </si>
  <si>
    <t>Материалы</t>
  </si>
  <si>
    <t>Итого за 2013 г</t>
  </si>
  <si>
    <t>Итого за 2014 г</t>
  </si>
  <si>
    <t>рентабельность 5%</t>
  </si>
  <si>
    <t>Итого за 2015 г</t>
  </si>
  <si>
    <t>Услуги стронних орган.</t>
  </si>
  <si>
    <t>Проверка вент.каналов</t>
  </si>
  <si>
    <t>4.4</t>
  </si>
  <si>
    <t xml:space="preserve">Расходы на управление,аренда, связь 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</si>
  <si>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</si>
  <si>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</si>
  <si>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</si>
  <si>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</si>
  <si>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СОИД</t>
  </si>
  <si>
    <t>Электроэнергия СОИД</t>
  </si>
  <si>
    <t>Горячая вода СОИД</t>
  </si>
  <si>
    <t>Холодная вода СОИД</t>
  </si>
  <si>
    <t>Транспортные(ГСМ,зап.части,амортизация,страхов)</t>
  </si>
  <si>
    <t>Итого за 2018 г</t>
  </si>
  <si>
    <t>Итого за 2019 г</t>
  </si>
  <si>
    <t>Всего за 2010-2019</t>
  </si>
  <si>
    <t>Вывоз ТБО (Утилизация)</t>
  </si>
  <si>
    <t>Дом по ул.Пролетарская д.5 А/1 вступил в ООО "Наш дом" с апреля 2010 года          тариф 10,35 руб с января 2019 года тариф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</si>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</sst>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0" fontId="21" fillId="0" borderId="29" xfId="0" applyFont="1" applyBorder="1" applyAlignment="1">
      <alignment horizontal="left"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0" fontId="21" fillId="0" borderId="27" xfId="0" applyFont="1" applyBorder="1" applyAlignment="1">
      <alignment wrapText="1"/>
    </xf>
    <xf numFmtId="49" fontId="0" fillId="0" borderId="36" xfId="0" applyNumberForma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38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2" fontId="25" fillId="0" borderId="35" xfId="0" applyNumberFormat="1" applyFont="1" applyBorder="1" applyAlignment="1">
      <alignment/>
    </xf>
    <xf numFmtId="0" fontId="21" fillId="0" borderId="38" xfId="0" applyFont="1" applyBorder="1" applyAlignment="1">
      <alignment wrapText="1"/>
    </xf>
    <xf numFmtId="2" fontId="21" fillId="0" borderId="39" xfId="0" applyNumberFormat="1" applyFont="1" applyBorder="1" applyAlignment="1">
      <alignment horizontal="right" wrapText="1"/>
    </xf>
    <xf numFmtId="2" fontId="25" fillId="0" borderId="40" xfId="0" applyNumberFormat="1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37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1" xfId="0" applyFont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2" fontId="21" fillId="0" borderId="42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35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0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0" fontId="27" fillId="0" borderId="49" xfId="0" applyFont="1" applyBorder="1" applyAlignment="1">
      <alignment/>
    </xf>
    <xf numFmtId="0" fontId="27" fillId="0" borderId="48" xfId="0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48" xfId="0" applyNumberFormat="1" applyFont="1" applyBorder="1" applyAlignment="1">
      <alignment/>
    </xf>
    <xf numFmtId="2" fontId="27" fillId="0" borderId="47" xfId="0" applyNumberFormat="1" applyFont="1" applyBorder="1" applyAlignment="1">
      <alignment/>
    </xf>
    <xf numFmtId="2" fontId="27" fillId="0" borderId="50" xfId="0" applyNumberFormat="1" applyFont="1" applyBorder="1" applyAlignment="1">
      <alignment/>
    </xf>
    <xf numFmtId="0" fontId="22" fillId="0" borderId="4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PageLayoutView="0" workbookViewId="0" topLeftCell="B4">
      <selection activeCell="B2" sqref="B2:Y2"/>
    </sheetView>
  </sheetViews>
  <sheetFormatPr defaultColWidth="9.00390625" defaultRowHeight="12.75"/>
  <cols>
    <col min="1" max="1" width="3.625" style="26" hidden="1" customWidth="1"/>
    <col min="2" max="2" width="22.125" style="0" customWidth="1"/>
    <col min="3" max="3" width="8.00390625" style="0" hidden="1" customWidth="1"/>
    <col min="4" max="4" width="8.625" style="0" hidden="1" customWidth="1"/>
    <col min="5" max="5" width="9.375" style="0" hidden="1" customWidth="1"/>
    <col min="6" max="6" width="9.75390625" style="0" hidden="1" customWidth="1"/>
    <col min="7" max="7" width="10.00390625" style="0" hidden="1" customWidth="1"/>
    <col min="8" max="9" width="10.25390625" style="0" hidden="1" customWidth="1"/>
    <col min="10" max="10" width="9.125" style="0" hidden="1" customWidth="1"/>
    <col min="11" max="11" width="10.00390625" style="0" hidden="1" customWidth="1"/>
    <col min="12" max="12" width="9.25390625" style="0" customWidth="1"/>
    <col min="13" max="13" width="8.375" style="0" customWidth="1"/>
    <col min="14" max="14" width="9.00390625" style="0" customWidth="1"/>
    <col min="15" max="15" width="8.25390625" style="0" customWidth="1"/>
    <col min="16" max="16" width="9.00390625" style="0" customWidth="1"/>
    <col min="17" max="18" width="8.375" style="0" customWidth="1"/>
    <col min="19" max="20" width="8.875" style="0" customWidth="1"/>
    <col min="21" max="22" width="8.125" style="0" customWidth="1"/>
    <col min="23" max="23" width="8.625" style="0" customWidth="1"/>
    <col min="24" max="24" width="9.125" style="0" customWidth="1"/>
    <col min="25" max="25" width="10.75390625" style="0" customWidth="1"/>
  </cols>
  <sheetData>
    <row r="1" spans="2:30" ht="12.75" customHeight="1">
      <c r="B1" s="99" t="s">
        <v>78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 customHeight="1">
      <c r="B2" s="99" t="s">
        <v>77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  <c r="X2" s="100"/>
      <c r="Y2" s="100"/>
      <c r="Z2" s="4"/>
      <c r="AA2" s="4"/>
      <c r="AB2" s="4"/>
      <c r="AC2" s="4"/>
      <c r="AD2" s="4"/>
    </row>
    <row r="3" spans="2:30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3"/>
      <c r="AA3" s="3"/>
      <c r="AB3" s="3"/>
      <c r="AC3" s="3"/>
      <c r="AD3" s="3"/>
    </row>
    <row r="4" spans="2:30" ht="15" customHeight="1">
      <c r="B4" s="97" t="s">
        <v>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2"/>
      <c r="AA4" s="2"/>
      <c r="AB4" s="2"/>
      <c r="AC4" s="2"/>
      <c r="AD4" s="2"/>
    </row>
    <row r="5" spans="2:30" ht="16.5" customHeight="1" thickBot="1">
      <c r="B5" s="97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2"/>
      <c r="AA5" s="2"/>
      <c r="AB5" s="2"/>
      <c r="AC5" s="2"/>
      <c r="AD5" s="2"/>
    </row>
    <row r="6" spans="2:30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  <c r="AA6" s="2"/>
      <c r="AB6" s="2"/>
      <c r="AC6" s="2"/>
      <c r="AD6" s="2"/>
    </row>
    <row r="7" spans="1:30" ht="33.75" customHeight="1" thickBot="1">
      <c r="A7" s="35" t="s">
        <v>26</v>
      </c>
      <c r="B7" s="27" t="s">
        <v>6</v>
      </c>
      <c r="C7" s="38" t="s">
        <v>44</v>
      </c>
      <c r="D7" s="66" t="s">
        <v>50</v>
      </c>
      <c r="E7" s="52" t="s">
        <v>52</v>
      </c>
      <c r="F7" s="52" t="s">
        <v>56</v>
      </c>
      <c r="G7" s="52" t="s">
        <v>57</v>
      </c>
      <c r="H7" s="52" t="s">
        <v>59</v>
      </c>
      <c r="I7" s="52" t="s">
        <v>66</v>
      </c>
      <c r="J7" s="52" t="s">
        <v>67</v>
      </c>
      <c r="K7" s="52" t="s">
        <v>73</v>
      </c>
      <c r="L7" s="6" t="s">
        <v>10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21</v>
      </c>
      <c r="W7" s="15" t="s">
        <v>20</v>
      </c>
      <c r="X7" s="52" t="s">
        <v>74</v>
      </c>
      <c r="Y7" s="47" t="s">
        <v>75</v>
      </c>
      <c r="Z7" s="1"/>
      <c r="AA7" s="1"/>
      <c r="AB7" s="1"/>
      <c r="AC7" s="1"/>
      <c r="AD7" s="1"/>
    </row>
    <row r="8" spans="1:25" ht="13.5" thickBot="1">
      <c r="A8" s="36" t="s">
        <v>27</v>
      </c>
      <c r="B8" s="28" t="s">
        <v>1</v>
      </c>
      <c r="C8" s="62">
        <v>129914.12</v>
      </c>
      <c r="D8" s="67">
        <v>187687.87</v>
      </c>
      <c r="E8" s="63">
        <v>194809.97</v>
      </c>
      <c r="F8" s="62">
        <v>194717.78</v>
      </c>
      <c r="G8" s="63">
        <v>194684.64</v>
      </c>
      <c r="H8" s="62">
        <v>197884.64</v>
      </c>
      <c r="I8" s="62">
        <v>194655.64</v>
      </c>
      <c r="J8" s="62">
        <v>194548.03</v>
      </c>
      <c r="K8" s="62">
        <v>194548.08</v>
      </c>
      <c r="L8" s="7">
        <v>15037.44</v>
      </c>
      <c r="M8" s="7">
        <v>15037.44</v>
      </c>
      <c r="N8" s="7">
        <v>15037.44</v>
      </c>
      <c r="O8" s="7">
        <v>15037.44</v>
      </c>
      <c r="P8" s="7">
        <v>15038.4</v>
      </c>
      <c r="Q8" s="7">
        <v>15038.4</v>
      </c>
      <c r="R8" s="7">
        <v>15038.4</v>
      </c>
      <c r="S8" s="7">
        <v>15038.4</v>
      </c>
      <c r="T8" s="7">
        <v>15038.4</v>
      </c>
      <c r="U8" s="7">
        <v>15038.4</v>
      </c>
      <c r="V8" s="7">
        <v>15028.8</v>
      </c>
      <c r="W8" s="7">
        <v>15028.8</v>
      </c>
      <c r="X8" s="53">
        <f>SUM(L8:W8)</f>
        <v>180437.75999999995</v>
      </c>
      <c r="Y8" s="57">
        <f>SUM(C8:W8)</f>
        <v>1863888.5299999996</v>
      </c>
    </row>
    <row r="9" spans="1:25" ht="13.5" thickBot="1">
      <c r="A9" s="36"/>
      <c r="B9" s="28" t="s">
        <v>68</v>
      </c>
      <c r="C9" s="63"/>
      <c r="D9" s="67"/>
      <c r="E9" s="63"/>
      <c r="F9" s="63"/>
      <c r="G9" s="63"/>
      <c r="H9" s="63"/>
      <c r="I9" s="63"/>
      <c r="J9" s="63">
        <v>17714.54</v>
      </c>
      <c r="K9" s="63">
        <v>13342.32</v>
      </c>
      <c r="L9" s="7">
        <f>48.84+71.26+200.61</f>
        <v>320.71000000000004</v>
      </c>
      <c r="M9" s="7">
        <f>48.84+71.26+200.61</f>
        <v>320.71000000000004</v>
      </c>
      <c r="N9" s="7">
        <f>48.84+71.26+200.61</f>
        <v>320.71000000000004</v>
      </c>
      <c r="O9" s="7">
        <f>48.84+71.26+200.61</f>
        <v>320.71000000000004</v>
      </c>
      <c r="P9" s="7">
        <f>48.85+71.27+200.56</f>
        <v>320.68</v>
      </c>
      <c r="Q9" s="7">
        <f>48.85+71.27+200.56</f>
        <v>320.68</v>
      </c>
      <c r="R9" s="8">
        <f aca="true" t="shared" si="0" ref="R9:W9">49.78+79.31+206.2</f>
        <v>335.28999999999996</v>
      </c>
      <c r="S9" s="8">
        <f t="shared" si="0"/>
        <v>335.28999999999996</v>
      </c>
      <c r="T9" s="8">
        <f t="shared" si="0"/>
        <v>335.28999999999996</v>
      </c>
      <c r="U9" s="8">
        <f t="shared" si="0"/>
        <v>335.28999999999996</v>
      </c>
      <c r="V9" s="8">
        <f t="shared" si="0"/>
        <v>335.28999999999996</v>
      </c>
      <c r="W9" s="8">
        <f t="shared" si="0"/>
        <v>335.28999999999996</v>
      </c>
      <c r="X9" s="53">
        <f>SUM(L9:W9)</f>
        <v>3935.94</v>
      </c>
      <c r="Y9" s="57">
        <f>SUM(C9:W9)</f>
        <v>34992.8</v>
      </c>
    </row>
    <row r="10" spans="1:25" s="87" customFormat="1" ht="13.5" thickBot="1">
      <c r="A10" s="81" t="s">
        <v>28</v>
      </c>
      <c r="B10" s="82" t="s">
        <v>2</v>
      </c>
      <c r="C10" s="83">
        <f aca="true" t="shared" si="1" ref="C10:L10">SUM(C11:C25)</f>
        <v>126019.59000000001</v>
      </c>
      <c r="D10" s="84">
        <f t="shared" si="1"/>
        <v>162374.96000000002</v>
      </c>
      <c r="E10" s="83">
        <f t="shared" si="1"/>
        <v>166224.71000000002</v>
      </c>
      <c r="F10" s="83">
        <f t="shared" si="1"/>
        <v>195820.47</v>
      </c>
      <c r="G10" s="83">
        <f t="shared" si="1"/>
        <v>225832.23</v>
      </c>
      <c r="H10" s="83">
        <f>SUM(H11:H25)</f>
        <v>211400.88000000003</v>
      </c>
      <c r="I10" s="83">
        <f>SUM(I11:I25)</f>
        <v>189167.15000000002</v>
      </c>
      <c r="J10" s="83">
        <f>SUM(J11:J25)</f>
        <v>206386.38999999998</v>
      </c>
      <c r="K10" s="83">
        <f t="shared" si="1"/>
        <v>219772.41</v>
      </c>
      <c r="L10" s="85">
        <f t="shared" si="1"/>
        <v>14057.47</v>
      </c>
      <c r="M10" s="85">
        <f aca="true" t="shared" si="2" ref="M10:W10">SUM(M11:M25)</f>
        <v>14468.390000000001</v>
      </c>
      <c r="N10" s="85">
        <f t="shared" si="2"/>
        <v>14227.620000000003</v>
      </c>
      <c r="O10" s="85">
        <f t="shared" si="2"/>
        <v>13515.469999999998</v>
      </c>
      <c r="P10" s="85">
        <f t="shared" si="2"/>
        <v>13895.54</v>
      </c>
      <c r="Q10" s="85">
        <f t="shared" si="2"/>
        <v>12243.780000000002</v>
      </c>
      <c r="R10" s="85">
        <f t="shared" si="2"/>
        <v>14800.87</v>
      </c>
      <c r="S10" s="85">
        <f t="shared" si="2"/>
        <v>13548.059999999998</v>
      </c>
      <c r="T10" s="85">
        <f t="shared" si="2"/>
        <v>12843.91</v>
      </c>
      <c r="U10" s="85">
        <f t="shared" si="2"/>
        <v>14839.340000000002</v>
      </c>
      <c r="V10" s="85">
        <f t="shared" si="2"/>
        <v>17588.929999999997</v>
      </c>
      <c r="W10" s="84">
        <f t="shared" si="2"/>
        <v>15011.379999999997</v>
      </c>
      <c r="X10" s="83">
        <f>SUM(L10:W10)</f>
        <v>171040.75999999998</v>
      </c>
      <c r="Y10" s="86">
        <f>SUM(C10:W10)</f>
        <v>1874039.55</v>
      </c>
    </row>
    <row r="11" spans="1:25" ht="13.5" thickBot="1">
      <c r="A11" s="36" t="s">
        <v>29</v>
      </c>
      <c r="B11" s="30" t="s">
        <v>76</v>
      </c>
      <c r="C11" s="42">
        <v>17497.88</v>
      </c>
      <c r="D11" s="68">
        <v>29309.33</v>
      </c>
      <c r="E11" s="42">
        <v>31546.68</v>
      </c>
      <c r="F11" s="42">
        <v>38383.22</v>
      </c>
      <c r="G11" s="42">
        <v>39396.46</v>
      </c>
      <c r="H11" s="42">
        <v>36822.41</v>
      </c>
      <c r="I11" s="42">
        <v>36963.11</v>
      </c>
      <c r="J11" s="42">
        <v>38550.3</v>
      </c>
      <c r="K11" s="42">
        <v>37981</v>
      </c>
      <c r="L11" s="7"/>
      <c r="M11" s="8"/>
      <c r="N11" s="8"/>
      <c r="O11" s="8">
        <v>76.97</v>
      </c>
      <c r="P11" s="8">
        <v>57.86</v>
      </c>
      <c r="Q11" s="8">
        <v>23.94</v>
      </c>
      <c r="R11" s="8">
        <v>62.05</v>
      </c>
      <c r="S11" s="8">
        <v>45.84</v>
      </c>
      <c r="T11" s="8">
        <v>11.3</v>
      </c>
      <c r="U11" s="8">
        <v>40.38</v>
      </c>
      <c r="V11" s="8">
        <v>33.62</v>
      </c>
      <c r="W11" s="16">
        <v>22.77</v>
      </c>
      <c r="X11" s="55">
        <f aca="true" t="shared" si="3" ref="X11:X27">SUM(L11:W11)</f>
        <v>374.72999999999996</v>
      </c>
      <c r="Y11" s="58">
        <f aca="true" t="shared" si="4" ref="Y11:Y25">SUM(C11:W11)</f>
        <v>306825.12</v>
      </c>
    </row>
    <row r="12" spans="1:25" ht="13.5" customHeight="1" thickBot="1">
      <c r="A12" s="36" t="s">
        <v>30</v>
      </c>
      <c r="B12" s="31" t="s">
        <v>60</v>
      </c>
      <c r="C12" s="43">
        <v>24928.6</v>
      </c>
      <c r="D12" s="69">
        <v>16248.7</v>
      </c>
      <c r="E12" s="43">
        <f>1528.44+1505</f>
        <v>3033.44</v>
      </c>
      <c r="F12" s="43">
        <f>2814.71+10157.05</f>
        <v>12971.759999999998</v>
      </c>
      <c r="G12" s="43">
        <f>6261.64+2400</f>
        <v>8661.64</v>
      </c>
      <c r="H12" s="43">
        <v>6336.95</v>
      </c>
      <c r="I12" s="43">
        <v>106.21</v>
      </c>
      <c r="J12" s="43">
        <v>2420</v>
      </c>
      <c r="K12" s="43">
        <v>4206.5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7"/>
      <c r="X12" s="55">
        <f t="shared" si="3"/>
        <v>0</v>
      </c>
      <c r="Y12" s="58">
        <f>SUM(C12:W12)</f>
        <v>78913.8</v>
      </c>
    </row>
    <row r="13" spans="1:25" ht="13.5" customHeight="1" thickBot="1">
      <c r="A13" s="36" t="s">
        <v>31</v>
      </c>
      <c r="B13" s="29" t="s">
        <v>4</v>
      </c>
      <c r="C13" s="43">
        <v>2137.22</v>
      </c>
      <c r="D13" s="69">
        <v>0</v>
      </c>
      <c r="E13" s="43">
        <v>0</v>
      </c>
      <c r="F13" s="43">
        <v>3819.66</v>
      </c>
      <c r="G13" s="43"/>
      <c r="H13" s="43">
        <v>0</v>
      </c>
      <c r="I13" s="43">
        <v>5485.9</v>
      </c>
      <c r="J13" s="43">
        <v>0</v>
      </c>
      <c r="K13" s="43">
        <v>6933.73</v>
      </c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>
        <v>4208.4</v>
      </c>
      <c r="W13" s="17"/>
      <c r="X13" s="55">
        <f t="shared" si="3"/>
        <v>4208.4</v>
      </c>
      <c r="Y13" s="58">
        <f t="shared" si="4"/>
        <v>22584.909999999996</v>
      </c>
    </row>
    <row r="14" spans="1:25" ht="14.25" customHeight="1" thickBot="1">
      <c r="A14" s="36" t="s">
        <v>62</v>
      </c>
      <c r="B14" s="29" t="s">
        <v>61</v>
      </c>
      <c r="C14" s="43"/>
      <c r="D14" s="69"/>
      <c r="E14" s="43"/>
      <c r="F14" s="43"/>
      <c r="G14" s="43"/>
      <c r="H14" s="43">
        <v>1100</v>
      </c>
      <c r="I14" s="43">
        <v>1700</v>
      </c>
      <c r="J14" s="43">
        <v>2000</v>
      </c>
      <c r="K14" s="43">
        <v>1800</v>
      </c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7">
        <v>750</v>
      </c>
      <c r="X14" s="55">
        <f>SUM(L14:W14)</f>
        <v>750</v>
      </c>
      <c r="Y14" s="58">
        <f>SUM(C14:W14)</f>
        <v>7350</v>
      </c>
    </row>
    <row r="15" spans="1:25" ht="15.75" customHeight="1" thickBot="1">
      <c r="A15" s="36" t="s">
        <v>32</v>
      </c>
      <c r="B15" s="31" t="s">
        <v>55</v>
      </c>
      <c r="C15" s="43">
        <v>30271.6</v>
      </c>
      <c r="D15" s="69">
        <v>14301.22</v>
      </c>
      <c r="E15" s="43">
        <v>3175.05</v>
      </c>
      <c r="F15" s="43">
        <v>3413.22</v>
      </c>
      <c r="G15" s="43">
        <v>35571.72</v>
      </c>
      <c r="H15" s="43">
        <v>21336.2</v>
      </c>
      <c r="I15" s="43">
        <v>717.14</v>
      </c>
      <c r="J15" s="43">
        <v>3180.7</v>
      </c>
      <c r="K15" s="43">
        <v>2320.7</v>
      </c>
      <c r="L15" s="9">
        <v>90</v>
      </c>
      <c r="M15" s="10">
        <v>369.7</v>
      </c>
      <c r="N15" s="10">
        <v>230</v>
      </c>
      <c r="O15" s="10">
        <v>412.8</v>
      </c>
      <c r="P15" s="10"/>
      <c r="Q15" s="10"/>
      <c r="R15" s="10">
        <v>90</v>
      </c>
      <c r="S15" s="10"/>
      <c r="T15" s="10"/>
      <c r="U15" s="10"/>
      <c r="V15" s="10"/>
      <c r="W15" s="17"/>
      <c r="X15" s="55">
        <f t="shared" si="3"/>
        <v>1192.5</v>
      </c>
      <c r="Y15" s="58">
        <f t="shared" si="4"/>
        <v>115480.04999999999</v>
      </c>
    </row>
    <row r="16" spans="1:25" ht="23.25" customHeight="1" thickBot="1">
      <c r="A16" s="36" t="s">
        <v>33</v>
      </c>
      <c r="B16" s="31" t="s">
        <v>49</v>
      </c>
      <c r="C16" s="43">
        <v>0</v>
      </c>
      <c r="D16" s="69">
        <v>1733.99</v>
      </c>
      <c r="E16" s="43">
        <v>256</v>
      </c>
      <c r="F16" s="43">
        <v>0</v>
      </c>
      <c r="G16" s="43">
        <v>4518.99</v>
      </c>
      <c r="H16" s="43">
        <v>0</v>
      </c>
      <c r="I16" s="43">
        <v>0</v>
      </c>
      <c r="J16" s="43">
        <v>127.59</v>
      </c>
      <c r="K16" s="43">
        <v>78</v>
      </c>
      <c r="L16" s="9">
        <v>117.36</v>
      </c>
      <c r="M16" s="10">
        <v>59.01</v>
      </c>
      <c r="N16" s="10"/>
      <c r="O16" s="10"/>
      <c r="P16" s="10"/>
      <c r="Q16" s="10"/>
      <c r="R16" s="10"/>
      <c r="S16" s="10"/>
      <c r="T16" s="10"/>
      <c r="U16" s="10"/>
      <c r="V16" s="10"/>
      <c r="W16" s="17"/>
      <c r="X16" s="55">
        <f t="shared" si="3"/>
        <v>176.37</v>
      </c>
      <c r="Y16" s="58">
        <f t="shared" si="4"/>
        <v>6890.94</v>
      </c>
    </row>
    <row r="17" spans="1:25" ht="11.25" customHeight="1" thickBot="1">
      <c r="A17" s="36" t="s">
        <v>34</v>
      </c>
      <c r="B17" s="31" t="s">
        <v>69</v>
      </c>
      <c r="C17" s="43">
        <v>4972</v>
      </c>
      <c r="D17" s="69">
        <v>6607.03</v>
      </c>
      <c r="E17" s="43">
        <v>4234.38</v>
      </c>
      <c r="F17" s="43">
        <v>0</v>
      </c>
      <c r="G17" s="43"/>
      <c r="H17" s="43">
        <v>0</v>
      </c>
      <c r="I17" s="43">
        <v>0</v>
      </c>
      <c r="J17" s="43">
        <v>13904.63</v>
      </c>
      <c r="K17" s="43">
        <v>9528.72</v>
      </c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55">
        <f t="shared" si="3"/>
        <v>0</v>
      </c>
      <c r="Y17" s="58">
        <f t="shared" si="4"/>
        <v>39246.76</v>
      </c>
    </row>
    <row r="18" spans="1:25" ht="12.75" customHeight="1" thickBot="1">
      <c r="A18" s="36"/>
      <c r="B18" s="31" t="s">
        <v>71</v>
      </c>
      <c r="C18" s="43"/>
      <c r="D18" s="69"/>
      <c r="E18" s="43"/>
      <c r="F18" s="43"/>
      <c r="G18" s="43"/>
      <c r="H18" s="43"/>
      <c r="I18" s="43"/>
      <c r="J18" s="43">
        <v>181.2</v>
      </c>
      <c r="K18" s="43">
        <v>0</v>
      </c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55">
        <f>SUM(L18:W18)</f>
        <v>0</v>
      </c>
      <c r="Y18" s="58">
        <f>SUM(C18:W18)</f>
        <v>181.2</v>
      </c>
    </row>
    <row r="19" spans="1:25" ht="12.75" customHeight="1" thickBot="1">
      <c r="A19" s="36"/>
      <c r="B19" s="31" t="s">
        <v>70</v>
      </c>
      <c r="C19" s="43"/>
      <c r="D19" s="69"/>
      <c r="E19" s="43"/>
      <c r="F19" s="43"/>
      <c r="G19" s="43"/>
      <c r="H19" s="43"/>
      <c r="I19" s="43"/>
      <c r="J19" s="43">
        <v>2751.51</v>
      </c>
      <c r="K19" s="43">
        <v>2378.1</v>
      </c>
      <c r="L19" s="9">
        <v>200.61</v>
      </c>
      <c r="M19" s="9">
        <v>200.61</v>
      </c>
      <c r="N19" s="9">
        <v>200.61</v>
      </c>
      <c r="O19" s="9">
        <v>200.61</v>
      </c>
      <c r="P19" s="9">
        <v>200.61</v>
      </c>
      <c r="Q19" s="9">
        <v>200.61</v>
      </c>
      <c r="R19" s="10">
        <v>206.2</v>
      </c>
      <c r="S19" s="10">
        <v>206.2</v>
      </c>
      <c r="T19" s="10">
        <v>206.2</v>
      </c>
      <c r="U19" s="10">
        <v>206.2</v>
      </c>
      <c r="V19" s="10">
        <v>206.2</v>
      </c>
      <c r="W19" s="10">
        <v>206.2</v>
      </c>
      <c r="X19" s="55">
        <f>SUM(L19:W19)</f>
        <v>2440.86</v>
      </c>
      <c r="Y19" s="58">
        <f>SUM(C19:W19)</f>
        <v>7570.4699999999975</v>
      </c>
    </row>
    <row r="20" spans="1:25" ht="17.25" customHeight="1" thickBot="1">
      <c r="A20" s="36" t="s">
        <v>35</v>
      </c>
      <c r="B20" s="31" t="s">
        <v>5</v>
      </c>
      <c r="C20" s="43">
        <v>237.07</v>
      </c>
      <c r="D20" s="69">
        <v>192.89</v>
      </c>
      <c r="E20" s="43">
        <v>1257.44</v>
      </c>
      <c r="F20" s="43">
        <v>2025.93</v>
      </c>
      <c r="G20" s="43">
        <v>157.62</v>
      </c>
      <c r="H20" s="43">
        <v>361.3</v>
      </c>
      <c r="I20" s="43">
        <v>348.29</v>
      </c>
      <c r="J20" s="43">
        <v>244</v>
      </c>
      <c r="K20" s="43">
        <v>200.72</v>
      </c>
      <c r="L20" s="9"/>
      <c r="M20" s="10"/>
      <c r="N20" s="10">
        <v>43.16</v>
      </c>
      <c r="O20" s="10"/>
      <c r="P20" s="10"/>
      <c r="Q20" s="10"/>
      <c r="R20" s="10"/>
      <c r="S20" s="10"/>
      <c r="T20" s="10">
        <v>136.68</v>
      </c>
      <c r="U20" s="10"/>
      <c r="V20" s="10">
        <v>21.53</v>
      </c>
      <c r="W20" s="17"/>
      <c r="X20" s="55">
        <f t="shared" si="3"/>
        <v>201.37</v>
      </c>
      <c r="Y20" s="58">
        <f t="shared" si="4"/>
        <v>5226.63</v>
      </c>
    </row>
    <row r="21" spans="1:25" ht="22.5" customHeight="1" thickBot="1">
      <c r="A21" s="36" t="s">
        <v>36</v>
      </c>
      <c r="B21" s="31" t="s">
        <v>72</v>
      </c>
      <c r="C21" s="43">
        <v>2137.33</v>
      </c>
      <c r="D21" s="69">
        <v>7619.66</v>
      </c>
      <c r="E21" s="43">
        <v>9599.1</v>
      </c>
      <c r="F21" s="43">
        <v>9992.5</v>
      </c>
      <c r="G21" s="43">
        <v>6387.33</v>
      </c>
      <c r="H21" s="43">
        <v>7533.38</v>
      </c>
      <c r="I21" s="43">
        <v>7965.32</v>
      </c>
      <c r="J21" s="43">
        <v>8087.83</v>
      </c>
      <c r="K21" s="43">
        <v>8499.22</v>
      </c>
      <c r="L21" s="9">
        <v>684.61</v>
      </c>
      <c r="M21" s="10">
        <v>717.63</v>
      </c>
      <c r="N21" s="10">
        <v>569.8</v>
      </c>
      <c r="O21" s="10">
        <v>682.42</v>
      </c>
      <c r="P21" s="10">
        <v>567.74</v>
      </c>
      <c r="Q21" s="10">
        <v>435.31</v>
      </c>
      <c r="R21" s="10">
        <v>454.98</v>
      </c>
      <c r="S21" s="10">
        <v>385.63</v>
      </c>
      <c r="T21" s="10">
        <v>433.61</v>
      </c>
      <c r="U21" s="10">
        <v>897.91</v>
      </c>
      <c r="V21" s="10">
        <v>567.41</v>
      </c>
      <c r="W21" s="17">
        <v>482.75</v>
      </c>
      <c r="X21" s="55">
        <f t="shared" si="3"/>
        <v>6879.799999999999</v>
      </c>
      <c r="Y21" s="58">
        <f t="shared" si="4"/>
        <v>74701.47000000002</v>
      </c>
    </row>
    <row r="22" spans="1:25" ht="24" customHeight="1" thickBot="1">
      <c r="A22" s="36" t="s">
        <v>37</v>
      </c>
      <c r="B22" s="31" t="s">
        <v>63</v>
      </c>
      <c r="C22" s="43">
        <v>3512.97</v>
      </c>
      <c r="D22" s="69">
        <v>4147.97</v>
      </c>
      <c r="E22" s="43">
        <v>1243.59</v>
      </c>
      <c r="F22" s="43">
        <v>883.59</v>
      </c>
      <c r="G22" s="43">
        <v>1921.42</v>
      </c>
      <c r="H22" s="43">
        <v>1298.31</v>
      </c>
      <c r="I22" s="43">
        <v>1133.07</v>
      </c>
      <c r="J22" s="43">
        <v>884.68</v>
      </c>
      <c r="K22" s="43">
        <v>857.38</v>
      </c>
      <c r="L22" s="9">
        <v>54.17</v>
      </c>
      <c r="M22" s="10">
        <v>46.7</v>
      </c>
      <c r="N22" s="10">
        <v>40.7</v>
      </c>
      <c r="O22" s="10">
        <v>47.35</v>
      </c>
      <c r="P22" s="10">
        <v>5</v>
      </c>
      <c r="Q22" s="10">
        <v>70.98</v>
      </c>
      <c r="R22" s="10">
        <v>79.6</v>
      </c>
      <c r="S22" s="10">
        <v>92.72</v>
      </c>
      <c r="T22" s="10">
        <v>137.81</v>
      </c>
      <c r="U22" s="10">
        <v>34.08</v>
      </c>
      <c r="V22" s="10">
        <v>125.69</v>
      </c>
      <c r="W22" s="17">
        <v>44.23</v>
      </c>
      <c r="X22" s="55">
        <f t="shared" si="3"/>
        <v>779.03</v>
      </c>
      <c r="Y22" s="58">
        <f t="shared" si="4"/>
        <v>16662.010000000002</v>
      </c>
    </row>
    <row r="23" spans="1:25" ht="36" customHeight="1" thickBot="1">
      <c r="A23" s="36" t="s">
        <v>38</v>
      </c>
      <c r="B23" s="31" t="s">
        <v>65</v>
      </c>
      <c r="C23" s="43">
        <v>2428.03</v>
      </c>
      <c r="D23" s="69">
        <v>7094.45</v>
      </c>
      <c r="E23" s="43">
        <v>6455.48</v>
      </c>
      <c r="F23" s="43">
        <v>8668.07</v>
      </c>
      <c r="G23" s="43">
        <v>7450.62</v>
      </c>
      <c r="H23" s="43">
        <v>9653.69</v>
      </c>
      <c r="I23" s="43">
        <v>8288.32</v>
      </c>
      <c r="J23" s="43">
        <v>8755.92</v>
      </c>
      <c r="K23" s="43">
        <v>9557.95</v>
      </c>
      <c r="L23" s="9">
        <f>33.81+327.59+403.51</f>
        <v>764.91</v>
      </c>
      <c r="M23" s="10">
        <f>31.87+456.43+391.16</f>
        <v>879.46</v>
      </c>
      <c r="N23" s="10">
        <f>407.95+27.72+304.31</f>
        <v>739.98</v>
      </c>
      <c r="O23" s="10">
        <f>29.64+336.45+1081.05</f>
        <v>1447.1399999999999</v>
      </c>
      <c r="P23" s="10">
        <f>28.93+371.53+293.01</f>
        <v>693.47</v>
      </c>
      <c r="Q23" s="10">
        <f>33.63+258.58+518.81</f>
        <v>811.02</v>
      </c>
      <c r="R23" s="10">
        <f>32.33+437.96+236.28</f>
        <v>706.5699999999999</v>
      </c>
      <c r="S23" s="10">
        <f>29.62+269.22+376.66</f>
        <v>675.5</v>
      </c>
      <c r="T23" s="10">
        <f>21.56+239.43+342.98</f>
        <v>603.97</v>
      </c>
      <c r="U23" s="10">
        <f>21.85+383.54+974.56</f>
        <v>1379.95</v>
      </c>
      <c r="V23" s="10">
        <f>24.14+241.02+250.84</f>
        <v>516</v>
      </c>
      <c r="W23" s="17">
        <f>24.08+728.92+421.04</f>
        <v>1174.04</v>
      </c>
      <c r="X23" s="55">
        <f t="shared" si="3"/>
        <v>10392.009999999998</v>
      </c>
      <c r="Y23" s="58">
        <f t="shared" si="4"/>
        <v>78744.54000000001</v>
      </c>
    </row>
    <row r="24" spans="1:25" ht="15.75" customHeight="1" thickBot="1">
      <c r="A24" s="36" t="s">
        <v>53</v>
      </c>
      <c r="B24" s="31" t="s">
        <v>8</v>
      </c>
      <c r="C24" s="43">
        <v>33301.9</v>
      </c>
      <c r="D24" s="69">
        <v>64420.33</v>
      </c>
      <c r="E24" s="43">
        <v>81198.35</v>
      </c>
      <c r="F24" s="43">
        <v>85639.79</v>
      </c>
      <c r="G24" s="43">
        <v>87651.14</v>
      </c>
      <c r="H24" s="43">
        <v>95777.66</v>
      </c>
      <c r="I24" s="43">
        <v>89998.34</v>
      </c>
      <c r="J24" s="43">
        <v>89764.91</v>
      </c>
      <c r="K24" s="43">
        <v>97580.05</v>
      </c>
      <c r="L24" s="9">
        <f>14057.47-4801.9</f>
        <v>9255.57</v>
      </c>
      <c r="M24" s="10">
        <f>14468.39-5807.55</f>
        <v>8660.84</v>
      </c>
      <c r="N24" s="10">
        <f>14227.62-5512.95</f>
        <v>8714.670000000002</v>
      </c>
      <c r="O24" s="10">
        <f>13102.67-5347.52</f>
        <v>7755.15</v>
      </c>
      <c r="P24" s="10">
        <f>13895.54-4707.99</f>
        <v>9187.550000000001</v>
      </c>
      <c r="Q24" s="10">
        <f>12243.78-4258.07</f>
        <v>7985.710000000001</v>
      </c>
      <c r="R24" s="10">
        <f>14800.87-5456.48</f>
        <v>9344.390000000001</v>
      </c>
      <c r="S24" s="10">
        <f>13548.06-4561.52</f>
        <v>8986.539999999999</v>
      </c>
      <c r="T24" s="10">
        <f>15343.91-6620</f>
        <v>8723.91</v>
      </c>
      <c r="U24" s="10">
        <f>14839.34-5550.37</f>
        <v>9288.970000000001</v>
      </c>
      <c r="V24" s="10">
        <f>17588.93-8276.2</f>
        <v>9312.73</v>
      </c>
      <c r="W24" s="17">
        <f>14261.38-5031.01</f>
        <v>9230.369999999999</v>
      </c>
      <c r="X24" s="55">
        <f t="shared" si="3"/>
        <v>106446.4</v>
      </c>
      <c r="Y24" s="58">
        <f t="shared" si="4"/>
        <v>831778.8700000001</v>
      </c>
    </row>
    <row r="25" spans="1:25" ht="15" customHeight="1" thickBot="1">
      <c r="A25" s="36" t="s">
        <v>54</v>
      </c>
      <c r="B25" s="32" t="s">
        <v>3</v>
      </c>
      <c r="C25" s="44">
        <v>4594.99</v>
      </c>
      <c r="D25" s="70">
        <v>10699.39</v>
      </c>
      <c r="E25" s="44">
        <v>24225.2</v>
      </c>
      <c r="F25" s="44">
        <v>30022.73</v>
      </c>
      <c r="G25" s="44">
        <v>34115.29</v>
      </c>
      <c r="H25" s="44">
        <v>31180.98</v>
      </c>
      <c r="I25" s="44">
        <v>36461.45</v>
      </c>
      <c r="J25" s="44">
        <v>35533.12</v>
      </c>
      <c r="K25" s="44">
        <v>37850.34</v>
      </c>
      <c r="L25" s="11">
        <f>2325.5+10.95+553.79</f>
        <v>2890.24</v>
      </c>
      <c r="M25" s="12">
        <f>2718+31.52+784.92</f>
        <v>3534.44</v>
      </c>
      <c r="N25" s="12">
        <f>2959.8+14.83+714.07</f>
        <v>3688.7000000000003</v>
      </c>
      <c r="O25" s="12">
        <f>2340.1+12.35+540.58</f>
        <v>2893.0299999999997</v>
      </c>
      <c r="P25" s="12">
        <f>2552.5+13.08+617.73</f>
        <v>3183.31</v>
      </c>
      <c r="Q25" s="12">
        <f>2156.7+12.21+547.3</f>
        <v>2716.21</v>
      </c>
      <c r="R25" s="12">
        <f>3170+14.39+672.69</f>
        <v>3857.08</v>
      </c>
      <c r="S25" s="12">
        <f>2562.2+28.9+564.53</f>
        <v>3155.63</v>
      </c>
      <c r="T25" s="12">
        <f>2092.2+10.85+487.38</f>
        <v>2590.43</v>
      </c>
      <c r="U25" s="12">
        <f>2449.8+11.81+530.24</f>
        <v>2991.8500000000004</v>
      </c>
      <c r="V25" s="12">
        <f>2106.7+11.12+479.53</f>
        <v>2597.3499999999995</v>
      </c>
      <c r="W25" s="19">
        <f>2506+12.97+582.05</f>
        <v>3101.0199999999995</v>
      </c>
      <c r="X25" s="55">
        <f t="shared" si="3"/>
        <v>37199.29</v>
      </c>
      <c r="Y25" s="58">
        <f t="shared" si="4"/>
        <v>281882.78</v>
      </c>
    </row>
    <row r="26" spans="1:25" ht="15" customHeight="1" thickBot="1">
      <c r="A26" s="36"/>
      <c r="B26" s="39" t="s">
        <v>58</v>
      </c>
      <c r="C26" s="72"/>
      <c r="D26" s="73"/>
      <c r="E26" s="72"/>
      <c r="F26" s="72"/>
      <c r="G26" s="75">
        <f>G8*5%</f>
        <v>9734.232000000002</v>
      </c>
      <c r="H26" s="75">
        <f>H8*5%</f>
        <v>9894.232000000002</v>
      </c>
      <c r="I26" s="75">
        <f>I8*5%</f>
        <v>9732.782000000001</v>
      </c>
      <c r="J26" s="80">
        <f>J8*5%</f>
        <v>9727.4015</v>
      </c>
      <c r="K26" s="80">
        <f>K8*5%</f>
        <v>9727.404</v>
      </c>
      <c r="L26" s="74">
        <f>(L8+L9)*5%</f>
        <v>767.9075000000001</v>
      </c>
      <c r="M26" s="74">
        <f aca="true" t="shared" si="5" ref="M26:W26">(M8+M9)*5%</f>
        <v>767.9075000000001</v>
      </c>
      <c r="N26" s="74">
        <f t="shared" si="5"/>
        <v>767.9075000000001</v>
      </c>
      <c r="O26" s="74">
        <f t="shared" si="5"/>
        <v>767.9075000000001</v>
      </c>
      <c r="P26" s="74">
        <f t="shared" si="5"/>
        <v>767.9540000000001</v>
      </c>
      <c r="Q26" s="74">
        <f t="shared" si="5"/>
        <v>767.9540000000001</v>
      </c>
      <c r="R26" s="74">
        <f t="shared" si="5"/>
        <v>768.6845</v>
      </c>
      <c r="S26" s="74">
        <f t="shared" si="5"/>
        <v>768.6845</v>
      </c>
      <c r="T26" s="74">
        <f t="shared" si="5"/>
        <v>768.6845</v>
      </c>
      <c r="U26" s="74">
        <f t="shared" si="5"/>
        <v>768.6845</v>
      </c>
      <c r="V26" s="74">
        <f t="shared" si="5"/>
        <v>768.2045</v>
      </c>
      <c r="W26" s="74">
        <f t="shared" si="5"/>
        <v>768.2045</v>
      </c>
      <c r="X26" s="75">
        <f t="shared" si="3"/>
        <v>9218.685000000001</v>
      </c>
      <c r="Y26" s="61"/>
    </row>
    <row r="27" spans="1:25" ht="15" customHeight="1" thickBot="1">
      <c r="A27" s="36" t="s">
        <v>39</v>
      </c>
      <c r="B27" s="59" t="s">
        <v>51</v>
      </c>
      <c r="C27" s="60"/>
      <c r="D27" s="71"/>
      <c r="E27" s="60"/>
      <c r="F27" s="60"/>
      <c r="G27" s="60"/>
      <c r="H27" s="60"/>
      <c r="I27" s="60"/>
      <c r="J27" s="79">
        <f aca="true" t="shared" si="6" ref="J27:W27">SUM(J8+J9-J10)-J26</f>
        <v>-3851.221499999978</v>
      </c>
      <c r="K27" s="79">
        <f>SUM(K8+K9-K10)-K26</f>
        <v>-21609.41400000001</v>
      </c>
      <c r="L27" s="76">
        <f t="shared" si="6"/>
        <v>532.772500000002</v>
      </c>
      <c r="M27" s="76">
        <f t="shared" si="6"/>
        <v>121.85250000000008</v>
      </c>
      <c r="N27" s="76">
        <f t="shared" si="6"/>
        <v>362.6224999999987</v>
      </c>
      <c r="O27" s="76">
        <f t="shared" si="6"/>
        <v>1074.7725000000037</v>
      </c>
      <c r="P27" s="76">
        <f t="shared" si="6"/>
        <v>695.585999999999</v>
      </c>
      <c r="Q27" s="76">
        <f t="shared" si="6"/>
        <v>2347.3459999999973</v>
      </c>
      <c r="R27" s="76">
        <f t="shared" si="6"/>
        <v>-195.86450000000207</v>
      </c>
      <c r="S27" s="76">
        <f t="shared" si="6"/>
        <v>1056.9455000000012</v>
      </c>
      <c r="T27" s="76">
        <f t="shared" si="6"/>
        <v>1761.095499999999</v>
      </c>
      <c r="U27" s="76">
        <f t="shared" si="6"/>
        <v>-234.33450000000323</v>
      </c>
      <c r="V27" s="76">
        <f t="shared" si="6"/>
        <v>-2993.0444999999963</v>
      </c>
      <c r="W27" s="76">
        <f t="shared" si="6"/>
        <v>-415.4944999999973</v>
      </c>
      <c r="X27" s="75">
        <f t="shared" si="3"/>
        <v>4114.255000000002</v>
      </c>
      <c r="Y27" s="61"/>
    </row>
    <row r="28" spans="1:25" ht="24" customHeight="1" thickBot="1">
      <c r="A28" s="36" t="s">
        <v>40</v>
      </c>
      <c r="B28" s="88" t="s">
        <v>22</v>
      </c>
      <c r="C28" s="89">
        <v>3894.53</v>
      </c>
      <c r="D28" s="90">
        <f>SUM(D8-D10)</f>
        <v>25312.909999999974</v>
      </c>
      <c r="E28" s="91">
        <f>SUM(E8-E10)</f>
        <v>28585.25999999998</v>
      </c>
      <c r="F28" s="91">
        <f>SUM(F8-F10)</f>
        <v>-1102.6900000000023</v>
      </c>
      <c r="G28" s="92">
        <f>SUM(G8-G10)-G26</f>
        <v>-40881.822</v>
      </c>
      <c r="H28" s="92">
        <f>SUM(H8-H10)-H26</f>
        <v>-23410.472000000023</v>
      </c>
      <c r="I28" s="93">
        <f>SUM(I8-I10)-I26</f>
        <v>-4244.29200000001</v>
      </c>
      <c r="J28" s="92">
        <f>SUM(J8+J9-J10)-J26</f>
        <v>-3851.221499999978</v>
      </c>
      <c r="K28" s="92">
        <f>SUM(K8+K9-K10)-K26</f>
        <v>-21609.41400000001</v>
      </c>
      <c r="L28" s="94">
        <f>SUM(L8+L9-L10)-L26</f>
        <v>532.772500000002</v>
      </c>
      <c r="M28" s="95">
        <f>SUM(M27+L28)</f>
        <v>654.625000000002</v>
      </c>
      <c r="N28" s="95">
        <f aca="true" t="shared" si="7" ref="N28:W28">SUM(N27+M28)</f>
        <v>1017.2475000000007</v>
      </c>
      <c r="O28" s="95">
        <f t="shared" si="7"/>
        <v>2092.0200000000045</v>
      </c>
      <c r="P28" s="95">
        <f t="shared" si="7"/>
        <v>2787.6060000000034</v>
      </c>
      <c r="Q28" s="95">
        <f t="shared" si="7"/>
        <v>5134.952000000001</v>
      </c>
      <c r="R28" s="95">
        <f t="shared" si="7"/>
        <v>4939.087499999999</v>
      </c>
      <c r="S28" s="95">
        <f t="shared" si="7"/>
        <v>5996.032999999999</v>
      </c>
      <c r="T28" s="95">
        <f t="shared" si="7"/>
        <v>7757.128499999999</v>
      </c>
      <c r="U28" s="95">
        <f t="shared" si="7"/>
        <v>7522.793999999995</v>
      </c>
      <c r="V28" s="95">
        <f t="shared" si="7"/>
        <v>4529.749499999999</v>
      </c>
      <c r="W28" s="95">
        <f t="shared" si="7"/>
        <v>4114.255000000002</v>
      </c>
      <c r="X28" s="91"/>
      <c r="Y28" s="96"/>
    </row>
    <row r="29" spans="1:25" ht="22.5" customHeight="1" thickBot="1">
      <c r="A29" s="36" t="s">
        <v>41</v>
      </c>
      <c r="B29" s="45" t="s">
        <v>23</v>
      </c>
      <c r="C29" s="39">
        <v>3894.53</v>
      </c>
      <c r="D29" s="18">
        <f>SUM(D8-D10,C29)</f>
        <v>29207.439999999973</v>
      </c>
      <c r="E29" s="55">
        <f>SUM(E8-E10,D29)</f>
        <v>57792.69999999995</v>
      </c>
      <c r="F29" s="55">
        <f>SUM(F8-F10,E29)</f>
        <v>56690.00999999995</v>
      </c>
      <c r="G29" s="78">
        <f aca="true" t="shared" si="8" ref="G29:L29">SUM(G28+F29)</f>
        <v>15808.187999999951</v>
      </c>
      <c r="H29" s="78">
        <f t="shared" si="8"/>
        <v>-7602.284000000072</v>
      </c>
      <c r="I29" s="78">
        <f t="shared" si="8"/>
        <v>-11846.576000000083</v>
      </c>
      <c r="J29" s="78">
        <f t="shared" si="8"/>
        <v>-15697.79750000006</v>
      </c>
      <c r="K29" s="78">
        <f t="shared" si="8"/>
        <v>-37307.21150000007</v>
      </c>
      <c r="L29" s="78">
        <f t="shared" si="8"/>
        <v>-36774.43900000007</v>
      </c>
      <c r="M29" s="77">
        <f>SUM(M27+L29)</f>
        <v>-36652.58650000007</v>
      </c>
      <c r="N29" s="77">
        <f aca="true" t="shared" si="9" ref="N29:V29">SUM(N27+M29)</f>
        <v>-36289.96400000007</v>
      </c>
      <c r="O29" s="77">
        <f t="shared" si="9"/>
        <v>-35215.191500000066</v>
      </c>
      <c r="P29" s="77">
        <f t="shared" si="9"/>
        <v>-34519.60550000007</v>
      </c>
      <c r="Q29" s="77">
        <f t="shared" si="9"/>
        <v>-32172.259500000073</v>
      </c>
      <c r="R29" s="77">
        <f t="shared" si="9"/>
        <v>-32368.124000000076</v>
      </c>
      <c r="S29" s="77">
        <f t="shared" si="9"/>
        <v>-31311.178500000075</v>
      </c>
      <c r="T29" s="77">
        <f t="shared" si="9"/>
        <v>-29550.083000000075</v>
      </c>
      <c r="U29" s="77">
        <f t="shared" si="9"/>
        <v>-29784.41750000008</v>
      </c>
      <c r="V29" s="77">
        <f t="shared" si="9"/>
        <v>-32777.46200000007</v>
      </c>
      <c r="W29" s="77">
        <f>SUM(W27+V29)</f>
        <v>-33192.95650000007</v>
      </c>
      <c r="X29" s="55"/>
      <c r="Y29" s="48"/>
    </row>
    <row r="30" spans="1:25" ht="9" customHeight="1" hidden="1" thickBot="1">
      <c r="A30" s="36" t="s">
        <v>42</v>
      </c>
      <c r="B30" s="45" t="s">
        <v>7</v>
      </c>
      <c r="C30" s="40"/>
      <c r="D30" s="40"/>
      <c r="E30" s="64"/>
      <c r="F30" s="64"/>
      <c r="G30" s="64"/>
      <c r="H30" s="64"/>
      <c r="I30" s="64"/>
      <c r="J30" s="64"/>
      <c r="K30" s="64"/>
      <c r="L30" s="13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0"/>
      <c r="X30" s="54"/>
      <c r="Y30" s="49"/>
    </row>
    <row r="31" spans="1:25" ht="15" customHeight="1" hidden="1" thickBot="1">
      <c r="A31" s="37" t="s">
        <v>43</v>
      </c>
      <c r="B31" s="33" t="s">
        <v>24</v>
      </c>
      <c r="C31" s="40"/>
      <c r="D31" s="40"/>
      <c r="E31" s="64"/>
      <c r="F31" s="64"/>
      <c r="G31" s="64"/>
      <c r="H31" s="64"/>
      <c r="I31" s="64"/>
      <c r="J31" s="64"/>
      <c r="K31" s="64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20"/>
      <c r="X31" s="55"/>
      <c r="Y31" s="50"/>
    </row>
    <row r="32" spans="1:25" ht="24" customHeight="1" hidden="1" thickBot="1">
      <c r="A32" s="37" t="s">
        <v>45</v>
      </c>
      <c r="B32" s="34" t="s">
        <v>46</v>
      </c>
      <c r="C32" s="41"/>
      <c r="D32" s="41"/>
      <c r="E32" s="65"/>
      <c r="F32" s="65"/>
      <c r="G32" s="65"/>
      <c r="H32" s="65"/>
      <c r="I32" s="65"/>
      <c r="J32" s="65"/>
      <c r="K32" s="6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>
        <f>SUM(W28-W30)</f>
        <v>4114.255000000002</v>
      </c>
      <c r="X32" s="56"/>
      <c r="Y32" s="51"/>
    </row>
    <row r="33" spans="1:25" ht="24" customHeight="1" hidden="1" thickBot="1">
      <c r="A33" s="46" t="s">
        <v>48</v>
      </c>
      <c r="B33" s="34" t="s">
        <v>25</v>
      </c>
      <c r="C33" s="41"/>
      <c r="D33" s="41"/>
      <c r="E33" s="65"/>
      <c r="F33" s="65"/>
      <c r="G33" s="65"/>
      <c r="H33" s="65"/>
      <c r="I33" s="65"/>
      <c r="J33" s="65"/>
      <c r="K33" s="65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>
        <f>SUM(W29-W30)</f>
        <v>-33192.95650000007</v>
      </c>
      <c r="X33" s="56"/>
      <c r="Y33" s="51"/>
    </row>
    <row r="34" spans="3:25" ht="24" customHeight="1" hidden="1"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3"/>
    </row>
    <row r="35" ht="12.75" hidden="1"/>
    <row r="36" ht="12.75" hidden="1"/>
    <row r="37" ht="12.75" hidden="1"/>
    <row r="38" ht="12.75" hidden="1"/>
    <row r="39" ht="12.75">
      <c r="B39" t="s">
        <v>64</v>
      </c>
    </row>
    <row r="43" ht="12.75" customHeight="1"/>
    <row r="44" ht="12.75" customHeight="1"/>
  </sheetData>
  <sheetProtection/>
  <mergeCells count="5">
    <mergeCell ref="B4:Y4"/>
    <mergeCell ref="B5:Y5"/>
    <mergeCell ref="B3:Y3"/>
    <mergeCell ref="B1:N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2020-02-21T06:05:31Z</cp:lastPrinted>
  <dcterms:created xsi:type="dcterms:W3CDTF">2011-06-16T11:06:26Z</dcterms:created>
  <dcterms:modified xsi:type="dcterms:W3CDTF">2020-02-21T06:05:32Z</dcterms:modified>
  <cp:category/>
  <cp:version/>
  <cp:contentType/>
  <cp:contentStatus/>
</cp:coreProperties>
</file>