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<sst xmlns="http://schemas.openxmlformats.org/spreadsheetml/2006/main" count="78" uniqueCount="78">
  <si>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</si>
  <si>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</si>
  <si>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</si>
  <si>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</si>
  <si>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</si>
  <si>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</si>
  <si>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</si>
  <si>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</si>
  <si>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</si>
  <si>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</si>
  <si>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</si>
  <si>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</si>
  <si>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</si>
  <si>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</si>
  <si>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</si>
  <si>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</si>
  <si>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</si>
  <si>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</si>
  <si>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</si>
  <si>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</si>
  <si>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</si>
  <si>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</si>
  <si>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</si>
  <si>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</si>
  <si>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</si>
  <si>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</si>
  <si>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</si>
  <si>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</si>
  <si>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</si>
  <si>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</si>
  <si>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</si>
  <si>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</si>
  <si>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</si>
  <si>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</si>
  <si>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</si>
  <si>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</si>
  <si>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</si>
  <si>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</si>
  <si>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</si>
  <si>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</si>
  <si>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</si>
  <si>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</si>
  <si>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</si>
  <si>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</si>
  <si>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</si>
  <si>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</si>
  <si>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</si>
  <si>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</si>
  <si>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Пролетарская д.5 А/2</t>
  </si>
  <si>
    <t>11</t>
  </si>
  <si>
    <t xml:space="preserve">Благоустройство территории </t>
  </si>
  <si>
    <t>Итого за  2011 г</t>
  </si>
  <si>
    <t>Результат за месяц</t>
  </si>
  <si>
    <t>Итого за  2012 г</t>
  </si>
  <si>
    <t xml:space="preserve">Материалы </t>
  </si>
  <si>
    <t>Итого за  2013 г</t>
  </si>
  <si>
    <t>Итого за  2014 г</t>
  </si>
  <si>
    <t>рентабельность 5%</t>
  </si>
  <si>
    <t>Итого за  2015 г</t>
  </si>
  <si>
    <t>Услуги сторонних орган.</t>
  </si>
  <si>
    <t>Проверка вент.каналов</t>
  </si>
  <si>
    <t xml:space="preserve">Расходы на управление,аренда, связь </t>
  </si>
  <si>
    <t>Исполнитель  вед. экономист /Викторова Л.С</t>
  </si>
  <si>
    <t xml:space="preserve">Услуги агентские,охрана труда,отопление, хол.вода, эл.энегрия   </t>
  </si>
  <si>
    <t>Итого за  2016 г</t>
  </si>
  <si>
    <t>Итого за  2017 г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</si>
  <si>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</si>
  <si>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</si>
  <si>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</si>
  <si>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</si>
  <si>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</si>
  <si>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Транспортные(ГСМ,зап.части,амортизация,страхов)</t>
  </si>
  <si>
    <t>Итого за  2018 г</t>
  </si>
  <si>
    <t>Итого за  2019 г</t>
  </si>
  <si>
    <t>Всего за 2010-2019</t>
  </si>
  <si>
    <t>Вывоз ТБО (Утилизация)</t>
  </si>
  <si>
    <t>Дом по ул.Пролетарская д.5 А/2 вступил в ООО "Наш дом" с апреля 2010 года        тариф 10,35 руб с января 2019 года тариф 9,6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</si>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</sst>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7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1" fillId="0" borderId="26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4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37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0" fontId="21" fillId="2" borderId="25" xfId="0" applyFont="1" applyFill="1" applyBorder="1" applyAlignment="1">
      <alignment wrapText="1"/>
    </xf>
    <xf numFmtId="0" fontId="26" fillId="0" borderId="3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2" fontId="21" fillId="0" borderId="34" xfId="0" applyNumberFormat="1" applyFont="1" applyBorder="1" applyAlignment="1">
      <alignment/>
    </xf>
    <xf numFmtId="0" fontId="21" fillId="0" borderId="25" xfId="0" applyFont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8" fillId="0" borderId="34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4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5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48" xfId="0" applyFont="1" applyBorder="1" applyAlignment="1">
      <alignment/>
    </xf>
    <xf numFmtId="0" fontId="28" fillId="0" borderId="47" xfId="0" applyFont="1" applyBorder="1" applyAlignment="1">
      <alignment/>
    </xf>
    <xf numFmtId="2" fontId="28" fillId="0" borderId="34" xfId="0" applyNumberFormat="1" applyFont="1" applyBorder="1" applyAlignment="1">
      <alignment/>
    </xf>
    <xf numFmtId="2" fontId="28" fillId="0" borderId="47" xfId="0" applyNumberFormat="1" applyFont="1" applyBorder="1" applyAlignment="1">
      <alignment/>
    </xf>
    <xf numFmtId="2" fontId="28" fillId="0" borderId="44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0" fontId="30" fillId="0" borderId="45" xfId="0" applyFont="1" applyBorder="1" applyAlignment="1">
      <alignment/>
    </xf>
    <xf numFmtId="0" fontId="21" fillId="0" borderId="5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B1">
      <selection activeCell="Q11" sqref="Q11"/>
    </sheetView>
  </sheetViews>
  <sheetFormatPr defaultColWidth="9.00390625" defaultRowHeight="12.75"/>
  <cols>
    <col min="1" max="1" width="6.25390625" style="25" customWidth="1"/>
    <col min="2" max="2" width="21.625" style="0" customWidth="1"/>
    <col min="3" max="3" width="7.375" style="0" hidden="1" customWidth="1"/>
    <col min="4" max="4" width="8.00390625" style="0" hidden="1" customWidth="1"/>
    <col min="5" max="5" width="9.625" style="0" hidden="1" customWidth="1"/>
    <col min="6" max="6" width="9.25390625" style="0" hidden="1" customWidth="1"/>
    <col min="7" max="7" width="8.375" style="0" hidden="1" customWidth="1"/>
    <col min="8" max="8" width="10.625" style="0" hidden="1" customWidth="1"/>
    <col min="9" max="9" width="11.75390625" style="0" hidden="1" customWidth="1"/>
    <col min="10" max="10" width="0.37109375" style="0" hidden="1" customWidth="1"/>
    <col min="11" max="11" width="9.00390625" style="0" hidden="1" customWidth="1"/>
    <col min="12" max="13" width="9.00390625" style="0" customWidth="1"/>
    <col min="14" max="14" width="7.75390625" style="0" customWidth="1"/>
    <col min="15" max="15" width="8.375" style="0" customWidth="1"/>
    <col min="16" max="16" width="8.125" style="0" customWidth="1"/>
    <col min="17" max="17" width="8.25390625" style="0" customWidth="1"/>
    <col min="18" max="19" width="7.75390625" style="0" customWidth="1"/>
    <col min="20" max="21" width="7.875" style="0" customWidth="1"/>
    <col min="22" max="22" width="8.125" style="0" customWidth="1"/>
    <col min="23" max="23" width="8.375" style="0" customWidth="1"/>
    <col min="25" max="25" width="10.125" style="0" customWidth="1"/>
  </cols>
  <sheetData>
    <row r="1" spans="2:30" ht="12.75" customHeight="1">
      <c r="B1" s="99" t="s">
        <v>77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9" t="s">
        <v>76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  <c r="X2" s="100"/>
      <c r="Y2" s="100"/>
      <c r="Z2" s="4"/>
      <c r="AA2" s="4"/>
      <c r="AB2" s="4"/>
      <c r="AC2" s="4"/>
      <c r="AD2" s="4"/>
    </row>
    <row r="3" spans="2:30" ht="12.75" customHeight="1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3"/>
      <c r="AA3" s="3"/>
      <c r="AB3" s="3"/>
      <c r="AC3" s="3"/>
      <c r="AD3" s="3"/>
    </row>
    <row r="4" spans="2:30" ht="12" customHeight="1">
      <c r="B4" s="97" t="s">
        <v>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2"/>
      <c r="AA4" s="2"/>
      <c r="AB4" s="2"/>
      <c r="AC4" s="2"/>
      <c r="AD4" s="2"/>
    </row>
    <row r="5" spans="2:30" ht="15" customHeight="1" thickBot="1">
      <c r="B5" s="97" t="s">
        <v>48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2.25" customHeight="1" thickBot="1">
      <c r="A7" s="34" t="s">
        <v>26</v>
      </c>
      <c r="B7" s="26" t="s">
        <v>6</v>
      </c>
      <c r="C7" s="37" t="s">
        <v>45</v>
      </c>
      <c r="D7" s="63" t="s">
        <v>51</v>
      </c>
      <c r="E7" s="51" t="s">
        <v>53</v>
      </c>
      <c r="F7" s="51" t="s">
        <v>55</v>
      </c>
      <c r="G7" s="51" t="s">
        <v>56</v>
      </c>
      <c r="H7" s="51" t="s">
        <v>58</v>
      </c>
      <c r="I7" s="51" t="s">
        <v>64</v>
      </c>
      <c r="J7" s="51" t="s">
        <v>65</v>
      </c>
      <c r="K7" s="51" t="s">
        <v>72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4" t="s">
        <v>20</v>
      </c>
      <c r="X7" s="51" t="s">
        <v>73</v>
      </c>
      <c r="Y7" s="46" t="s">
        <v>74</v>
      </c>
      <c r="Z7" s="1"/>
      <c r="AA7" s="1"/>
      <c r="AB7" s="1"/>
      <c r="AC7" s="1"/>
      <c r="AD7" s="1"/>
    </row>
    <row r="8" spans="1:25" ht="13.5" thickBot="1">
      <c r="A8" s="35" t="s">
        <v>27</v>
      </c>
      <c r="B8" s="27" t="s">
        <v>1</v>
      </c>
      <c r="C8" s="59">
        <v>129805.56</v>
      </c>
      <c r="D8" s="64">
        <v>189250.55</v>
      </c>
      <c r="E8" s="60">
        <v>194520.08</v>
      </c>
      <c r="F8" s="59">
        <v>194305.89</v>
      </c>
      <c r="G8" s="60">
        <v>194296.57</v>
      </c>
      <c r="H8" s="59">
        <v>197462.36</v>
      </c>
      <c r="I8" s="59">
        <v>194229.24</v>
      </c>
      <c r="J8" s="59">
        <v>194129.88</v>
      </c>
      <c r="K8" s="59">
        <v>194113.32</v>
      </c>
      <c r="L8" s="7">
        <v>15003.84</v>
      </c>
      <c r="M8" s="7">
        <v>15003.84</v>
      </c>
      <c r="N8" s="7">
        <v>15003.84</v>
      </c>
      <c r="O8" s="7">
        <v>14994.24</v>
      </c>
      <c r="P8" s="7">
        <v>14994.24</v>
      </c>
      <c r="Q8" s="7">
        <v>14994.24</v>
      </c>
      <c r="R8" s="7">
        <v>14994.24</v>
      </c>
      <c r="S8" s="7">
        <v>14994.24</v>
      </c>
      <c r="T8" s="7">
        <v>14994.24</v>
      </c>
      <c r="U8" s="7">
        <v>14994.24</v>
      </c>
      <c r="V8" s="7">
        <v>14994.24</v>
      </c>
      <c r="W8" s="7">
        <v>14994.24</v>
      </c>
      <c r="X8" s="55">
        <f>SUM(L8:W8)</f>
        <v>179959.68</v>
      </c>
      <c r="Y8" s="74">
        <f>SUM(C8:W8)</f>
        <v>1862073.1300000001</v>
      </c>
    </row>
    <row r="9" spans="1:25" ht="13.5" thickBot="1">
      <c r="A9" s="35"/>
      <c r="B9" s="27" t="s">
        <v>66</v>
      </c>
      <c r="C9" s="60"/>
      <c r="D9" s="64"/>
      <c r="E9" s="60"/>
      <c r="F9" s="60"/>
      <c r="G9" s="60"/>
      <c r="H9" s="60"/>
      <c r="I9" s="60"/>
      <c r="J9" s="60">
        <v>17714.84</v>
      </c>
      <c r="K9" s="60">
        <v>13342.63</v>
      </c>
      <c r="L9" s="7">
        <f aca="true" t="shared" si="0" ref="L9:Q9">48.86+71.24+200.61</f>
        <v>320.71000000000004</v>
      </c>
      <c r="M9" s="7">
        <f t="shared" si="0"/>
        <v>320.71000000000004</v>
      </c>
      <c r="N9" s="7">
        <f t="shared" si="0"/>
        <v>320.71000000000004</v>
      </c>
      <c r="O9" s="7">
        <f t="shared" si="0"/>
        <v>320.71000000000004</v>
      </c>
      <c r="P9" s="7">
        <f t="shared" si="0"/>
        <v>320.71000000000004</v>
      </c>
      <c r="Q9" s="7">
        <f t="shared" si="0"/>
        <v>320.71000000000004</v>
      </c>
      <c r="R9" s="8">
        <f aca="true" t="shared" si="1" ref="R9:W9">49.75+79.26+206.22</f>
        <v>335.23</v>
      </c>
      <c r="S9" s="8">
        <f t="shared" si="1"/>
        <v>335.23</v>
      </c>
      <c r="T9" s="8">
        <f t="shared" si="1"/>
        <v>335.23</v>
      </c>
      <c r="U9" s="8">
        <f t="shared" si="1"/>
        <v>335.23</v>
      </c>
      <c r="V9" s="8">
        <f t="shared" si="1"/>
        <v>335.23</v>
      </c>
      <c r="W9" s="8">
        <f t="shared" si="1"/>
        <v>335.23</v>
      </c>
      <c r="X9" s="55">
        <f>SUM(L9:W9)</f>
        <v>3935.6400000000003</v>
      </c>
      <c r="Y9" s="74">
        <f>SUM(C9:W9)</f>
        <v>34993.110000000015</v>
      </c>
    </row>
    <row r="10" spans="1:25" s="86" customFormat="1" ht="13.5" thickBot="1">
      <c r="A10" s="80" t="s">
        <v>28</v>
      </c>
      <c r="B10" s="81" t="s">
        <v>2</v>
      </c>
      <c r="C10" s="82">
        <f aca="true" t="shared" si="2" ref="C10:L10">SUM(C11:C26)</f>
        <v>125358.08</v>
      </c>
      <c r="D10" s="83">
        <f t="shared" si="2"/>
        <v>159141.15999999997</v>
      </c>
      <c r="E10" s="82">
        <f t="shared" si="2"/>
        <v>166208.97999999998</v>
      </c>
      <c r="F10" s="82">
        <f t="shared" si="2"/>
        <v>187448.94999999998</v>
      </c>
      <c r="G10" s="82">
        <f t="shared" si="2"/>
        <v>203927.31</v>
      </c>
      <c r="H10" s="82">
        <f>SUM(H11:H26)</f>
        <v>237144.31</v>
      </c>
      <c r="I10" s="82">
        <f>SUM(I11:I26)</f>
        <v>192772.19000000003</v>
      </c>
      <c r="J10" s="82">
        <f>SUM(J11:J26)</f>
        <v>206201.68</v>
      </c>
      <c r="K10" s="82">
        <f t="shared" si="2"/>
        <v>209621.02</v>
      </c>
      <c r="L10" s="84">
        <f t="shared" si="2"/>
        <v>15272.81</v>
      </c>
      <c r="M10" s="84">
        <f aca="true" t="shared" si="3" ref="M10:W10">SUM(M11:M26)</f>
        <v>13895.919999999998</v>
      </c>
      <c r="N10" s="84">
        <f t="shared" si="3"/>
        <v>13823.350000000002</v>
      </c>
      <c r="O10" s="84">
        <f t="shared" si="3"/>
        <v>13587.169999999998</v>
      </c>
      <c r="P10" s="84">
        <f t="shared" si="3"/>
        <v>14241.199999999999</v>
      </c>
      <c r="Q10" s="84">
        <f t="shared" si="3"/>
        <v>12583.14</v>
      </c>
      <c r="R10" s="84">
        <f t="shared" si="3"/>
        <v>19541.79</v>
      </c>
      <c r="S10" s="84">
        <f t="shared" si="3"/>
        <v>12506.62</v>
      </c>
      <c r="T10" s="84">
        <f t="shared" si="3"/>
        <v>18338.340000000004</v>
      </c>
      <c r="U10" s="84">
        <f t="shared" si="3"/>
        <v>13874.54</v>
      </c>
      <c r="V10" s="84">
        <f t="shared" si="3"/>
        <v>20611.58</v>
      </c>
      <c r="W10" s="83">
        <f t="shared" si="3"/>
        <v>15643.34</v>
      </c>
      <c r="X10" s="82">
        <f>SUM(L10:W10)</f>
        <v>183919.80000000002</v>
      </c>
      <c r="Y10" s="85">
        <f>SUM(C10:W10)</f>
        <v>1871743.4800000002</v>
      </c>
    </row>
    <row r="11" spans="1:25" ht="13.5" customHeight="1" thickBot="1">
      <c r="A11" s="35" t="s">
        <v>29</v>
      </c>
      <c r="B11" s="29" t="s">
        <v>75</v>
      </c>
      <c r="C11" s="41">
        <v>19027.92</v>
      </c>
      <c r="D11" s="65">
        <v>30384.05</v>
      </c>
      <c r="E11" s="41">
        <v>31488.17</v>
      </c>
      <c r="F11" s="41">
        <v>38497.02</v>
      </c>
      <c r="G11" s="41">
        <v>39396.54</v>
      </c>
      <c r="H11" s="41">
        <v>36152.2</v>
      </c>
      <c r="I11" s="41">
        <v>33896.41</v>
      </c>
      <c r="J11" s="41">
        <v>31589.96</v>
      </c>
      <c r="K11" s="41">
        <v>32181.94</v>
      </c>
      <c r="L11" s="7"/>
      <c r="M11" s="8"/>
      <c r="N11" s="8"/>
      <c r="O11" s="8">
        <v>69.52</v>
      </c>
      <c r="P11" s="8">
        <v>52.17</v>
      </c>
      <c r="Q11" s="8">
        <v>21.59</v>
      </c>
      <c r="R11" s="8">
        <v>56.88</v>
      </c>
      <c r="S11" s="8">
        <v>42.02</v>
      </c>
      <c r="T11" s="8">
        <v>10.53</v>
      </c>
      <c r="U11" s="8">
        <v>37.65</v>
      </c>
      <c r="V11" s="8">
        <v>31.34</v>
      </c>
      <c r="W11" s="15">
        <v>20.46</v>
      </c>
      <c r="X11" s="53">
        <f aca="true" t="shared" si="4" ref="X11:X28">SUM(L11:W11)</f>
        <v>342.15999999999997</v>
      </c>
      <c r="Y11" s="75">
        <f aca="true" t="shared" si="5" ref="Y11:Y26">SUM(C11:W11)</f>
        <v>292956.37000000017</v>
      </c>
    </row>
    <row r="12" spans="1:25" ht="12.75" customHeight="1" thickBot="1">
      <c r="A12" s="35" t="s">
        <v>30</v>
      </c>
      <c r="B12" s="30" t="s">
        <v>59</v>
      </c>
      <c r="C12" s="42">
        <v>24907.58</v>
      </c>
      <c r="D12" s="66">
        <v>15228.04</v>
      </c>
      <c r="E12" s="42">
        <f>1698.95+1505</f>
        <v>3203.95</v>
      </c>
      <c r="F12" s="42">
        <f>2554.52+6500</f>
        <v>9054.52</v>
      </c>
      <c r="G12" s="42">
        <v>5751.72</v>
      </c>
      <c r="H12" s="42">
        <v>8730.12</v>
      </c>
      <c r="I12" s="42">
        <v>83.68</v>
      </c>
      <c r="J12" s="42">
        <v>3283.23</v>
      </c>
      <c r="K12" s="42">
        <v>4847.5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6"/>
      <c r="X12" s="53">
        <f t="shared" si="4"/>
        <v>0</v>
      </c>
      <c r="Y12" s="75">
        <f t="shared" si="5"/>
        <v>75090.33999999998</v>
      </c>
    </row>
    <row r="13" spans="1:25" ht="15.75" customHeight="1" thickBot="1">
      <c r="A13" s="35" t="s">
        <v>31</v>
      </c>
      <c r="B13" s="28" t="s">
        <v>4</v>
      </c>
      <c r="C13" s="42">
        <v>2135.32</v>
      </c>
      <c r="D13" s="66">
        <v>0</v>
      </c>
      <c r="E13" s="42">
        <v>0</v>
      </c>
      <c r="F13" s="42">
        <v>4253.9</v>
      </c>
      <c r="G13" s="42"/>
      <c r="H13" s="42">
        <v>0</v>
      </c>
      <c r="I13" s="42">
        <v>5715.9</v>
      </c>
      <c r="J13" s="42">
        <v>0</v>
      </c>
      <c r="K13" s="42">
        <v>7056.23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>
        <v>5644.9</v>
      </c>
      <c r="W13" s="16"/>
      <c r="X13" s="53">
        <f t="shared" si="4"/>
        <v>5644.9</v>
      </c>
      <c r="Y13" s="75">
        <f t="shared" si="5"/>
        <v>24806.25</v>
      </c>
    </row>
    <row r="14" spans="1:25" ht="15.75" customHeight="1" thickBot="1">
      <c r="A14" s="35"/>
      <c r="B14" s="28" t="s">
        <v>60</v>
      </c>
      <c r="C14" s="42"/>
      <c r="D14" s="66"/>
      <c r="E14" s="42"/>
      <c r="F14" s="42"/>
      <c r="G14" s="42"/>
      <c r="H14" s="42">
        <v>1100</v>
      </c>
      <c r="I14" s="42">
        <v>1700</v>
      </c>
      <c r="J14" s="42">
        <v>2000</v>
      </c>
      <c r="K14" s="42">
        <v>2100</v>
      </c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6">
        <v>750</v>
      </c>
      <c r="X14" s="53">
        <f>SUM(L14:W14)</f>
        <v>750</v>
      </c>
      <c r="Y14" s="75">
        <f>SUM(C14:W14)</f>
        <v>7650</v>
      </c>
    </row>
    <row r="15" spans="1:25" ht="13.5" customHeight="1" thickBot="1">
      <c r="A15" s="35" t="s">
        <v>32</v>
      </c>
      <c r="B15" s="30" t="s">
        <v>54</v>
      </c>
      <c r="C15" s="42">
        <v>28856.94</v>
      </c>
      <c r="D15" s="66">
        <v>12728.32</v>
      </c>
      <c r="E15" s="42">
        <v>3244.71</v>
      </c>
      <c r="F15" s="42">
        <v>2060.38</v>
      </c>
      <c r="G15" s="42">
        <v>21143.49</v>
      </c>
      <c r="H15" s="42">
        <v>47219.89</v>
      </c>
      <c r="I15" s="42">
        <v>8842.85</v>
      </c>
      <c r="J15" s="42">
        <f>9286.82+5022.07</f>
        <v>14308.89</v>
      </c>
      <c r="K15" s="42">
        <v>2430.97</v>
      </c>
      <c r="L15" s="9">
        <v>90</v>
      </c>
      <c r="M15" s="10"/>
      <c r="N15" s="10"/>
      <c r="O15" s="10"/>
      <c r="P15" s="10">
        <v>511.28</v>
      </c>
      <c r="Q15" s="10">
        <v>120</v>
      </c>
      <c r="R15" s="10">
        <v>4880</v>
      </c>
      <c r="S15" s="10"/>
      <c r="T15" s="10">
        <v>4959.71</v>
      </c>
      <c r="U15" s="10"/>
      <c r="V15" s="10">
        <v>284.58</v>
      </c>
      <c r="W15" s="16"/>
      <c r="X15" s="53">
        <f t="shared" si="4"/>
        <v>10845.57</v>
      </c>
      <c r="Y15" s="75">
        <f t="shared" si="5"/>
        <v>151682.00999999998</v>
      </c>
    </row>
    <row r="16" spans="1:25" ht="13.5" customHeight="1" thickBot="1">
      <c r="A16" s="35" t="s">
        <v>33</v>
      </c>
      <c r="B16" s="30" t="s">
        <v>50</v>
      </c>
      <c r="C16" s="42">
        <v>0</v>
      </c>
      <c r="D16" s="66">
        <v>1733.99</v>
      </c>
      <c r="E16" s="42">
        <v>256</v>
      </c>
      <c r="F16" s="42">
        <v>0</v>
      </c>
      <c r="G16" s="42">
        <v>4514.63</v>
      </c>
      <c r="H16" s="42">
        <v>0</v>
      </c>
      <c r="I16" s="42">
        <v>186</v>
      </c>
      <c r="J16" s="42">
        <v>127.32</v>
      </c>
      <c r="K16" s="42">
        <v>92</v>
      </c>
      <c r="L16" s="9">
        <v>99.76</v>
      </c>
      <c r="M16" s="10">
        <v>51.01</v>
      </c>
      <c r="N16" s="10"/>
      <c r="O16" s="10"/>
      <c r="P16" s="10"/>
      <c r="Q16" s="10"/>
      <c r="R16" s="10"/>
      <c r="S16" s="10"/>
      <c r="T16" s="10"/>
      <c r="U16" s="10"/>
      <c r="V16" s="10"/>
      <c r="W16" s="16"/>
      <c r="X16" s="53">
        <f t="shared" si="4"/>
        <v>150.77</v>
      </c>
      <c r="Y16" s="75">
        <f t="shared" si="5"/>
        <v>7060.71</v>
      </c>
    </row>
    <row r="17" spans="1:25" ht="15" customHeight="1" thickBot="1">
      <c r="A17" s="35" t="s">
        <v>34</v>
      </c>
      <c r="B17" s="30" t="s">
        <v>67</v>
      </c>
      <c r="C17" s="42">
        <v>4472.6</v>
      </c>
      <c r="D17" s="66">
        <v>5573</v>
      </c>
      <c r="E17" s="42">
        <v>4539.89</v>
      </c>
      <c r="F17" s="42">
        <v>0</v>
      </c>
      <c r="G17" s="42"/>
      <c r="H17" s="42">
        <v>0</v>
      </c>
      <c r="I17" s="42">
        <v>0</v>
      </c>
      <c r="J17" s="42">
        <v>13904.66</v>
      </c>
      <c r="K17" s="42">
        <v>9528.67</v>
      </c>
      <c r="L17" s="9"/>
      <c r="M17" s="9"/>
      <c r="N17" s="9"/>
      <c r="O17" s="9"/>
      <c r="P17" s="9"/>
      <c r="Q17" s="9"/>
      <c r="R17" s="10"/>
      <c r="S17" s="10"/>
      <c r="T17" s="10"/>
      <c r="U17" s="10"/>
      <c r="V17" s="10"/>
      <c r="W17" s="10"/>
      <c r="X17" s="61">
        <f t="shared" si="4"/>
        <v>0</v>
      </c>
      <c r="Y17" s="75">
        <f t="shared" si="5"/>
        <v>38018.82</v>
      </c>
    </row>
    <row r="18" spans="1:25" ht="15" customHeight="1" thickBot="1">
      <c r="A18" s="35"/>
      <c r="B18" s="30" t="s">
        <v>69</v>
      </c>
      <c r="C18" s="42"/>
      <c r="D18" s="66"/>
      <c r="E18" s="42"/>
      <c r="F18" s="42"/>
      <c r="G18" s="42"/>
      <c r="H18" s="42"/>
      <c r="I18" s="42"/>
      <c r="J18" s="42">
        <v>950.54</v>
      </c>
      <c r="K18" s="42">
        <v>1169.16</v>
      </c>
      <c r="L18" s="9">
        <v>97.73</v>
      </c>
      <c r="M18" s="9">
        <v>97.73</v>
      </c>
      <c r="N18" s="9">
        <v>97.73</v>
      </c>
      <c r="O18" s="9">
        <v>97.73</v>
      </c>
      <c r="P18" s="9">
        <v>97.73</v>
      </c>
      <c r="Q18" s="9">
        <v>97.73</v>
      </c>
      <c r="R18" s="9">
        <v>97.73</v>
      </c>
      <c r="S18" s="10">
        <v>101.31</v>
      </c>
      <c r="T18" s="10">
        <v>99.52</v>
      </c>
      <c r="U18" s="10">
        <v>99.52</v>
      </c>
      <c r="V18" s="10">
        <v>99.52</v>
      </c>
      <c r="W18" s="10">
        <v>99.52</v>
      </c>
      <c r="X18" s="61">
        <f>SUM(L18:W18)</f>
        <v>1183.5</v>
      </c>
      <c r="Y18" s="75">
        <f>SUM(C18:W18)</f>
        <v>3303.2</v>
      </c>
    </row>
    <row r="19" spans="1:25" ht="15" customHeight="1" thickBot="1">
      <c r="A19" s="35"/>
      <c r="B19" s="30" t="s">
        <v>68</v>
      </c>
      <c r="C19" s="42"/>
      <c r="D19" s="66"/>
      <c r="E19" s="42"/>
      <c r="F19" s="42"/>
      <c r="G19" s="42"/>
      <c r="H19" s="42"/>
      <c r="I19" s="42"/>
      <c r="J19" s="42">
        <v>2751.58</v>
      </c>
      <c r="K19" s="42">
        <v>2378.22</v>
      </c>
      <c r="L19" s="9">
        <v>200.61</v>
      </c>
      <c r="M19" s="9">
        <v>200.61</v>
      </c>
      <c r="N19" s="9">
        <v>200.61</v>
      </c>
      <c r="O19" s="9">
        <v>200.61</v>
      </c>
      <c r="P19" s="9">
        <v>200.61</v>
      </c>
      <c r="Q19" s="9">
        <v>200.61</v>
      </c>
      <c r="R19" s="9">
        <v>206.22</v>
      </c>
      <c r="S19" s="10">
        <v>206.22</v>
      </c>
      <c r="T19" s="10">
        <v>206.22</v>
      </c>
      <c r="U19" s="10">
        <v>206.22</v>
      </c>
      <c r="V19" s="10">
        <v>206.22</v>
      </c>
      <c r="W19" s="10">
        <v>206.22</v>
      </c>
      <c r="X19" s="61">
        <f>SUM(L19:W19)</f>
        <v>2440.98</v>
      </c>
      <c r="Y19" s="75">
        <f>SUM(C19:W19)</f>
        <v>7570.779999999999</v>
      </c>
    </row>
    <row r="20" spans="1:25" ht="15" customHeight="1" thickBot="1">
      <c r="A20" s="35"/>
      <c r="B20" s="30" t="s">
        <v>70</v>
      </c>
      <c r="C20" s="42"/>
      <c r="D20" s="66"/>
      <c r="E20" s="42"/>
      <c r="F20" s="42"/>
      <c r="G20" s="42"/>
      <c r="H20" s="42"/>
      <c r="I20" s="42"/>
      <c r="J20" s="42">
        <v>985.63</v>
      </c>
      <c r="K20" s="42">
        <v>1702.62</v>
      </c>
      <c r="L20" s="9">
        <v>142.49</v>
      </c>
      <c r="M20" s="9">
        <v>142.49</v>
      </c>
      <c r="N20" s="9">
        <v>142.49</v>
      </c>
      <c r="O20" s="9">
        <v>142.49</v>
      </c>
      <c r="P20" s="9">
        <v>142.49</v>
      </c>
      <c r="Q20" s="9">
        <v>142.49</v>
      </c>
      <c r="R20" s="9">
        <v>142.49</v>
      </c>
      <c r="S20" s="10">
        <v>158.54</v>
      </c>
      <c r="T20" s="10">
        <v>158.54</v>
      </c>
      <c r="U20" s="10">
        <v>158.54</v>
      </c>
      <c r="V20" s="10">
        <v>158.54</v>
      </c>
      <c r="W20" s="10">
        <v>158.54</v>
      </c>
      <c r="X20" s="61">
        <f>SUM(L20:W20)</f>
        <v>1790.1299999999999</v>
      </c>
      <c r="Y20" s="75">
        <f>SUM(C20:W20)</f>
        <v>4478.379999999998</v>
      </c>
    </row>
    <row r="21" spans="1:25" ht="14.25" customHeight="1" thickBot="1">
      <c r="A21" s="35" t="s">
        <v>35</v>
      </c>
      <c r="B21" s="30" t="s">
        <v>5</v>
      </c>
      <c r="C21" s="42">
        <v>236.97</v>
      </c>
      <c r="D21" s="66">
        <v>117.44</v>
      </c>
      <c r="E21" s="42">
        <v>1257.44</v>
      </c>
      <c r="F21" s="42">
        <v>192.22</v>
      </c>
      <c r="G21" s="42">
        <v>157.62</v>
      </c>
      <c r="H21" s="42">
        <v>361.3</v>
      </c>
      <c r="I21" s="42">
        <v>348.8</v>
      </c>
      <c r="J21" s="42">
        <v>523.04</v>
      </c>
      <c r="K21" s="42">
        <v>235.76</v>
      </c>
      <c r="L21" s="9"/>
      <c r="M21" s="10"/>
      <c r="N21" s="10">
        <v>43.16</v>
      </c>
      <c r="O21" s="10"/>
      <c r="P21" s="10">
        <v>43.17</v>
      </c>
      <c r="Q21" s="10"/>
      <c r="R21" s="10"/>
      <c r="S21" s="10"/>
      <c r="T21" s="10">
        <v>136.68</v>
      </c>
      <c r="U21" s="10"/>
      <c r="V21" s="10">
        <v>21.53</v>
      </c>
      <c r="W21" s="16"/>
      <c r="X21" s="53">
        <f t="shared" si="4"/>
        <v>244.54</v>
      </c>
      <c r="Y21" s="75">
        <f t="shared" si="5"/>
        <v>3675.13</v>
      </c>
    </row>
    <row r="22" spans="1:25" ht="26.25" customHeight="1" thickBot="1">
      <c r="A22" s="35" t="s">
        <v>36</v>
      </c>
      <c r="B22" s="30" t="s">
        <v>71</v>
      </c>
      <c r="C22" s="42">
        <v>2135.11</v>
      </c>
      <c r="D22" s="66">
        <v>7609.87</v>
      </c>
      <c r="E22" s="42">
        <v>9584.89</v>
      </c>
      <c r="F22" s="42">
        <v>9008.33</v>
      </c>
      <c r="G22" s="42">
        <v>6374.53</v>
      </c>
      <c r="H22" s="42">
        <v>7517.07</v>
      </c>
      <c r="I22" s="42">
        <v>7947.58</v>
      </c>
      <c r="J22" s="42">
        <v>8070.42</v>
      </c>
      <c r="K22" s="42">
        <v>8480.22</v>
      </c>
      <c r="L22" s="9">
        <v>683.08</v>
      </c>
      <c r="M22" s="10">
        <v>716.03</v>
      </c>
      <c r="N22" s="10">
        <v>568.53</v>
      </c>
      <c r="O22" s="10">
        <v>680.46</v>
      </c>
      <c r="P22" s="10">
        <v>566.08</v>
      </c>
      <c r="Q22" s="10">
        <v>434.03</v>
      </c>
      <c r="R22" s="10">
        <v>453.64</v>
      </c>
      <c r="S22" s="10">
        <v>384.49</v>
      </c>
      <c r="T22" s="10">
        <v>432.33</v>
      </c>
      <c r="U22" s="10">
        <v>895.28</v>
      </c>
      <c r="V22" s="10">
        <v>566.1</v>
      </c>
      <c r="W22" s="16">
        <v>481.64</v>
      </c>
      <c r="X22" s="53">
        <f t="shared" si="4"/>
        <v>6861.6900000000005</v>
      </c>
      <c r="Y22" s="75">
        <f t="shared" si="5"/>
        <v>73589.71</v>
      </c>
    </row>
    <row r="23" spans="1:25" ht="27" customHeight="1" thickBot="1">
      <c r="A23" s="35" t="s">
        <v>37</v>
      </c>
      <c r="B23" s="30" t="s">
        <v>61</v>
      </c>
      <c r="C23" s="42">
        <v>3510.35</v>
      </c>
      <c r="D23" s="66">
        <v>4143.09</v>
      </c>
      <c r="E23" s="42">
        <v>1241.83</v>
      </c>
      <c r="F23" s="42">
        <v>881.77</v>
      </c>
      <c r="G23" s="42">
        <v>1917.62</v>
      </c>
      <c r="H23" s="42">
        <v>1295.49</v>
      </c>
      <c r="I23" s="42">
        <v>1130.62</v>
      </c>
      <c r="J23" s="42">
        <v>882.79</v>
      </c>
      <c r="K23" s="42">
        <v>855.45</v>
      </c>
      <c r="L23" s="9">
        <v>54.05</v>
      </c>
      <c r="M23" s="10">
        <v>46.6</v>
      </c>
      <c r="N23" s="10">
        <v>40.61</v>
      </c>
      <c r="O23" s="10">
        <f>47.22</f>
        <v>47.22</v>
      </c>
      <c r="P23" s="10">
        <v>4.99</v>
      </c>
      <c r="Q23" s="10">
        <v>70.77</v>
      </c>
      <c r="R23" s="10">
        <v>79.37</v>
      </c>
      <c r="S23" s="10">
        <v>92.45</v>
      </c>
      <c r="T23" s="10">
        <v>137.4</v>
      </c>
      <c r="U23" s="10">
        <v>33.98</v>
      </c>
      <c r="V23" s="10">
        <v>125.4</v>
      </c>
      <c r="W23" s="16">
        <v>44.13</v>
      </c>
      <c r="X23" s="53">
        <f t="shared" si="4"/>
        <v>776.97</v>
      </c>
      <c r="Y23" s="75">
        <f>SUM(C23:W23)</f>
        <v>16635.980000000007</v>
      </c>
    </row>
    <row r="24" spans="1:25" ht="36" customHeight="1" thickBot="1">
      <c r="A24" s="35" t="s">
        <v>38</v>
      </c>
      <c r="B24" s="30" t="s">
        <v>63</v>
      </c>
      <c r="C24" s="42">
        <v>2426.39</v>
      </c>
      <c r="D24" s="66">
        <v>6956.44</v>
      </c>
      <c r="E24" s="42">
        <v>6445.63</v>
      </c>
      <c r="F24" s="42">
        <v>8649.71</v>
      </c>
      <c r="G24" s="42">
        <v>7436.05</v>
      </c>
      <c r="H24" s="42">
        <v>9569.41</v>
      </c>
      <c r="I24" s="42">
        <v>8270.18</v>
      </c>
      <c r="J24" s="42">
        <v>8706.43</v>
      </c>
      <c r="K24" s="42">
        <v>9536.59</v>
      </c>
      <c r="L24" s="9">
        <f>33.74+326.86+402.61</f>
        <v>763.21</v>
      </c>
      <c r="M24" s="10">
        <f>31.8+455.41+390.29</f>
        <v>877.5</v>
      </c>
      <c r="N24" s="10">
        <f>407.04+27.65+303.63</f>
        <v>738.3199999999999</v>
      </c>
      <c r="O24" s="10">
        <f>29.56+335.49+1077.94</f>
        <v>1442.99</v>
      </c>
      <c r="P24" s="10">
        <f>28.85+370.44+292.15</f>
        <v>691.44</v>
      </c>
      <c r="Q24" s="10">
        <f>33.53+257.82+517.29</f>
        <v>808.64</v>
      </c>
      <c r="R24" s="10">
        <f>32.24+436.67+235.59</f>
        <v>704.5</v>
      </c>
      <c r="S24" s="10">
        <f>29.53+268.42+375.56</f>
        <v>673.51</v>
      </c>
      <c r="T24" s="10">
        <f>21.49+238.73+341.97</f>
        <v>602.19</v>
      </c>
      <c r="U24" s="10">
        <f>21.79+382.42+971.7</f>
        <v>1375.91</v>
      </c>
      <c r="V24" s="10">
        <f>24.08+240.46+250.27</f>
        <v>514.8100000000001</v>
      </c>
      <c r="W24" s="16">
        <f>24.03+727.24+420.07</f>
        <v>1171.34</v>
      </c>
      <c r="X24" s="53">
        <f t="shared" si="4"/>
        <v>10364.359999999999</v>
      </c>
      <c r="Y24" s="75">
        <f t="shared" si="5"/>
        <v>78361.19000000002</v>
      </c>
    </row>
    <row r="25" spans="1:25" ht="15.75" customHeight="1" thickBot="1">
      <c r="A25" s="35" t="s">
        <v>39</v>
      </c>
      <c r="B25" s="30" t="s">
        <v>8</v>
      </c>
      <c r="C25" s="42">
        <v>33273.89</v>
      </c>
      <c r="D25" s="66">
        <v>64339.9</v>
      </c>
      <c r="E25" s="42">
        <v>81077.58</v>
      </c>
      <c r="F25" s="42">
        <v>85458.94</v>
      </c>
      <c r="G25" s="42">
        <v>87475.73</v>
      </c>
      <c r="H25" s="42">
        <v>95569.89</v>
      </c>
      <c r="I25" s="42">
        <v>90061.71</v>
      </c>
      <c r="J25" s="42">
        <v>84297.88</v>
      </c>
      <c r="K25" s="42">
        <v>90266.9</v>
      </c>
      <c r="L25" s="9">
        <f>15272.81-6037.93</f>
        <v>9234.88</v>
      </c>
      <c r="M25" s="10">
        <f>13895.92-5254.43</f>
        <v>8641.49</v>
      </c>
      <c r="N25" s="10">
        <f>13823.35-5128.15</f>
        <v>8695.2</v>
      </c>
      <c r="O25" s="10">
        <f>13999.97-6744.39</f>
        <v>7255.579999999999</v>
      </c>
      <c r="P25" s="10">
        <f>14241.2-5080.61</f>
        <v>9160.59</v>
      </c>
      <c r="Q25" s="10">
        <f>12583.14-4623.79</f>
        <v>7959.349999999999</v>
      </c>
      <c r="R25" s="10">
        <f>19541.79-10224.83</f>
        <v>9316.960000000001</v>
      </c>
      <c r="S25" s="10">
        <f>12506.62-4546.47</f>
        <v>7960.150000000001</v>
      </c>
      <c r="T25" s="10">
        <f>15838.34-7140.05</f>
        <v>8698.29</v>
      </c>
      <c r="U25" s="10">
        <f>13874.54-5612.85</f>
        <v>8261.69</v>
      </c>
      <c r="V25" s="10">
        <f>20611.58-11320.25</f>
        <v>9291.330000000002</v>
      </c>
      <c r="W25" s="16">
        <f>14893.34-5684.18</f>
        <v>9209.16</v>
      </c>
      <c r="X25" s="53">
        <f t="shared" si="4"/>
        <v>103684.67</v>
      </c>
      <c r="Y25" s="75">
        <f t="shared" si="5"/>
        <v>815507.0899999999</v>
      </c>
    </row>
    <row r="26" spans="1:25" ht="13.5" customHeight="1" thickBot="1">
      <c r="A26" s="35" t="s">
        <v>40</v>
      </c>
      <c r="B26" s="31" t="s">
        <v>3</v>
      </c>
      <c r="C26" s="43">
        <v>4375.01</v>
      </c>
      <c r="D26" s="67">
        <v>10327.02</v>
      </c>
      <c r="E26" s="43">
        <v>23868.89</v>
      </c>
      <c r="F26" s="43">
        <v>29392.16</v>
      </c>
      <c r="G26" s="43">
        <v>29759.38</v>
      </c>
      <c r="H26" s="77">
        <v>29628.94</v>
      </c>
      <c r="I26" s="77">
        <v>34588.46</v>
      </c>
      <c r="J26" s="77">
        <v>33819.31</v>
      </c>
      <c r="K26" s="77">
        <v>36758.79</v>
      </c>
      <c r="L26" s="96">
        <f>3105.5+14.95+786.55</f>
        <v>3907</v>
      </c>
      <c r="M26" s="11">
        <f>2532+13.22+577.24</f>
        <v>3122.46</v>
      </c>
      <c r="N26" s="11">
        <f>2647.2+15.57+633.93</f>
        <v>3296.7</v>
      </c>
      <c r="O26" s="11">
        <f>2122.7+1058+469.87</f>
        <v>3650.5699999999997</v>
      </c>
      <c r="P26" s="11">
        <f>2248.1+10.88+511.67</f>
        <v>2770.65</v>
      </c>
      <c r="Q26" s="11">
        <f>2221.7+10.54+495.69</f>
        <v>2727.93</v>
      </c>
      <c r="R26" s="11">
        <f>2901.7+14.82+687.48</f>
        <v>3604</v>
      </c>
      <c r="S26" s="11">
        <f>2352.6+11.63+523.7</f>
        <v>2887.9300000000003</v>
      </c>
      <c r="T26" s="11">
        <f>2330.6+12.3+554.03</f>
        <v>2896.9300000000003</v>
      </c>
      <c r="U26" s="11">
        <f>2274.2+11.56+519.99</f>
        <v>2805.75</v>
      </c>
      <c r="V26" s="11">
        <f>2898.7+21.39+747.22</f>
        <v>3667.3099999999995</v>
      </c>
      <c r="W26" s="18">
        <f>2867.3+15.14+619.89</f>
        <v>3502.33</v>
      </c>
      <c r="X26" s="53">
        <f t="shared" si="4"/>
        <v>38839.560000000005</v>
      </c>
      <c r="Y26" s="75">
        <f t="shared" si="5"/>
        <v>271357.52</v>
      </c>
    </row>
    <row r="27" spans="1:25" ht="13.5" customHeight="1" thickBot="1">
      <c r="A27" s="35"/>
      <c r="B27" s="38" t="s">
        <v>57</v>
      </c>
      <c r="C27" s="69"/>
      <c r="D27" s="70"/>
      <c r="E27" s="69"/>
      <c r="F27" s="69"/>
      <c r="G27" s="61">
        <f>G8*5%</f>
        <v>9714.828500000001</v>
      </c>
      <c r="H27" s="61">
        <f>H8*5%</f>
        <v>9873.118</v>
      </c>
      <c r="I27" s="61">
        <f>I8*5%</f>
        <v>9711.462</v>
      </c>
      <c r="J27" s="79">
        <f>J8*5%</f>
        <v>9706.494</v>
      </c>
      <c r="K27" s="61">
        <f>K8*5%</f>
        <v>9705.666000000001</v>
      </c>
      <c r="L27" s="73">
        <f>(L8+L9)*5%</f>
        <v>766.2275</v>
      </c>
      <c r="M27" s="73">
        <f aca="true" t="shared" si="6" ref="M27:W27">(M8+M9)*5%</f>
        <v>766.2275</v>
      </c>
      <c r="N27" s="73">
        <f t="shared" si="6"/>
        <v>766.2275</v>
      </c>
      <c r="O27" s="73">
        <f t="shared" si="6"/>
        <v>765.7475000000001</v>
      </c>
      <c r="P27" s="73">
        <f t="shared" si="6"/>
        <v>765.7475000000001</v>
      </c>
      <c r="Q27" s="73">
        <f t="shared" si="6"/>
        <v>765.7475000000001</v>
      </c>
      <c r="R27" s="73">
        <f t="shared" si="6"/>
        <v>766.4735000000001</v>
      </c>
      <c r="S27" s="73">
        <f t="shared" si="6"/>
        <v>766.4735000000001</v>
      </c>
      <c r="T27" s="73">
        <f t="shared" si="6"/>
        <v>766.4735000000001</v>
      </c>
      <c r="U27" s="73">
        <f t="shared" si="6"/>
        <v>766.4735000000001</v>
      </c>
      <c r="V27" s="73">
        <f t="shared" si="6"/>
        <v>766.4735000000001</v>
      </c>
      <c r="W27" s="73">
        <f t="shared" si="6"/>
        <v>766.4735000000001</v>
      </c>
      <c r="X27" s="61">
        <f t="shared" si="4"/>
        <v>9194.766</v>
      </c>
      <c r="Y27" s="76"/>
    </row>
    <row r="28" spans="1:25" ht="13.5" customHeight="1" thickBot="1">
      <c r="A28" s="35"/>
      <c r="B28" s="56" t="s">
        <v>52</v>
      </c>
      <c r="C28" s="57"/>
      <c r="D28" s="68"/>
      <c r="E28" s="57"/>
      <c r="F28" s="57"/>
      <c r="G28" s="57"/>
      <c r="H28" s="57"/>
      <c r="I28" s="57"/>
      <c r="J28" s="78">
        <f aca="true" t="shared" si="7" ref="J28:W28">SUM(J8+J9-J10)-J27</f>
        <v>-4063.4539999999924</v>
      </c>
      <c r="K28" s="78">
        <f>SUM(K8+K9-K10)-K27</f>
        <v>-11870.735999999979</v>
      </c>
      <c r="L28" s="71">
        <f t="shared" si="7"/>
        <v>-714.4875000000002</v>
      </c>
      <c r="M28" s="71">
        <f t="shared" si="7"/>
        <v>662.402500000001</v>
      </c>
      <c r="N28" s="71">
        <f t="shared" si="7"/>
        <v>734.9724999999971</v>
      </c>
      <c r="O28" s="71">
        <f t="shared" si="7"/>
        <v>962.0325000000024</v>
      </c>
      <c r="P28" s="71">
        <f t="shared" si="7"/>
        <v>308.00250000000176</v>
      </c>
      <c r="Q28" s="71">
        <f t="shared" si="7"/>
        <v>1966.0625000000014</v>
      </c>
      <c r="R28" s="71">
        <f t="shared" si="7"/>
        <v>-4978.793500000002</v>
      </c>
      <c r="S28" s="71">
        <f t="shared" si="7"/>
        <v>2056.3764999999985</v>
      </c>
      <c r="T28" s="71">
        <f t="shared" si="7"/>
        <v>-3775.3435000000045</v>
      </c>
      <c r="U28" s="71">
        <f t="shared" si="7"/>
        <v>688.4564999999984</v>
      </c>
      <c r="V28" s="71">
        <f t="shared" si="7"/>
        <v>-6048.5835000000025</v>
      </c>
      <c r="W28" s="71">
        <f t="shared" si="7"/>
        <v>-1080.3435000000009</v>
      </c>
      <c r="X28" s="61">
        <f t="shared" si="4"/>
        <v>-9219.246000000008</v>
      </c>
      <c r="Y28" s="76"/>
    </row>
    <row r="29" spans="1:25" ht="24.75" customHeight="1" thickBot="1">
      <c r="A29" s="35" t="s">
        <v>41</v>
      </c>
      <c r="B29" s="87" t="s">
        <v>22</v>
      </c>
      <c r="C29" s="88">
        <v>4447.48</v>
      </c>
      <c r="D29" s="89">
        <f>SUM(D8-D10)</f>
        <v>30109.390000000014</v>
      </c>
      <c r="E29" s="90">
        <f>SUM(E8-E10)</f>
        <v>28311.100000000006</v>
      </c>
      <c r="F29" s="90">
        <f>SUM(F8-F10)</f>
        <v>6856.940000000031</v>
      </c>
      <c r="G29" s="91">
        <f>SUM(G8-G10)-G27</f>
        <v>-19345.568499999994</v>
      </c>
      <c r="H29" s="91">
        <f>SUM(H8-H10)-H27</f>
        <v>-49555.068000000014</v>
      </c>
      <c r="I29" s="92">
        <f>SUM(I8-I10)-I27</f>
        <v>-8254.41200000004</v>
      </c>
      <c r="J29" s="91">
        <f>SUM(J8+J9-J10)-J27</f>
        <v>-4063.4539999999924</v>
      </c>
      <c r="K29" s="91">
        <f>SUM(K8+K9-K10)-K27</f>
        <v>-11870.735999999979</v>
      </c>
      <c r="L29" s="93">
        <f>SUM(L8+L9-L10)-L27</f>
        <v>-714.4875000000002</v>
      </c>
      <c r="M29" s="94">
        <f>SUM(M28+L29)</f>
        <v>-52.08499999999913</v>
      </c>
      <c r="N29" s="94">
        <f aca="true" t="shared" si="8" ref="N29:W29">SUM(N28+M29)</f>
        <v>682.887499999998</v>
      </c>
      <c r="O29" s="94">
        <f t="shared" si="8"/>
        <v>1644.9200000000005</v>
      </c>
      <c r="P29" s="94">
        <f t="shared" si="8"/>
        <v>1952.9225000000024</v>
      </c>
      <c r="Q29" s="94">
        <f t="shared" si="8"/>
        <v>3918.9850000000038</v>
      </c>
      <c r="R29" s="94">
        <f t="shared" si="8"/>
        <v>-1059.8084999999978</v>
      </c>
      <c r="S29" s="94">
        <f t="shared" si="8"/>
        <v>996.5680000000007</v>
      </c>
      <c r="T29" s="94">
        <f t="shared" si="8"/>
        <v>-2778.775500000004</v>
      </c>
      <c r="U29" s="94">
        <f t="shared" si="8"/>
        <v>-2090.3190000000054</v>
      </c>
      <c r="V29" s="94">
        <f t="shared" si="8"/>
        <v>-8138.902500000007</v>
      </c>
      <c r="W29" s="94">
        <f t="shared" si="8"/>
        <v>-9219.246000000008</v>
      </c>
      <c r="X29" s="90"/>
      <c r="Y29" s="95"/>
    </row>
    <row r="30" spans="1:25" ht="24.75" customHeight="1" thickBot="1">
      <c r="A30" s="35" t="s">
        <v>42</v>
      </c>
      <c r="B30" s="44" t="s">
        <v>23</v>
      </c>
      <c r="C30" s="38">
        <v>4447.48</v>
      </c>
      <c r="D30" s="17">
        <f>SUM(D8-D10,C30)</f>
        <v>34556.87000000001</v>
      </c>
      <c r="E30" s="53">
        <f>SUM(E8-E10,D30)</f>
        <v>62867.970000000016</v>
      </c>
      <c r="F30" s="53">
        <f>SUM(F8-F10,E30)</f>
        <v>69724.91000000005</v>
      </c>
      <c r="G30" s="73">
        <f aca="true" t="shared" si="9" ref="G30:L30">SUM(G29+F30)</f>
        <v>50379.34150000005</v>
      </c>
      <c r="H30" s="73">
        <f t="shared" si="9"/>
        <v>824.2735000000393</v>
      </c>
      <c r="I30" s="73">
        <f t="shared" si="9"/>
        <v>-7430.138500000001</v>
      </c>
      <c r="J30" s="73">
        <f t="shared" si="9"/>
        <v>-11493.592499999993</v>
      </c>
      <c r="K30" s="73">
        <f t="shared" si="9"/>
        <v>-23364.328499999974</v>
      </c>
      <c r="L30" s="73">
        <f t="shared" si="9"/>
        <v>-24078.815999999973</v>
      </c>
      <c r="M30" s="72">
        <f>SUM(M28+L30)</f>
        <v>-23416.413499999973</v>
      </c>
      <c r="N30" s="72">
        <f aca="true" t="shared" si="10" ref="N30:V30">SUM(N28+M30)</f>
        <v>-22681.440999999977</v>
      </c>
      <c r="O30" s="72">
        <f t="shared" si="10"/>
        <v>-21719.408499999976</v>
      </c>
      <c r="P30" s="72">
        <f t="shared" si="10"/>
        <v>-21411.405999999974</v>
      </c>
      <c r="Q30" s="72">
        <f t="shared" si="10"/>
        <v>-19445.343499999974</v>
      </c>
      <c r="R30" s="72">
        <f t="shared" si="10"/>
        <v>-24424.136999999973</v>
      </c>
      <c r="S30" s="72">
        <f t="shared" si="10"/>
        <v>-22367.760499999975</v>
      </c>
      <c r="T30" s="72">
        <f t="shared" si="10"/>
        <v>-26143.103999999978</v>
      </c>
      <c r="U30" s="72">
        <f t="shared" si="10"/>
        <v>-25454.647499999977</v>
      </c>
      <c r="V30" s="72">
        <f t="shared" si="10"/>
        <v>-31503.230999999978</v>
      </c>
      <c r="W30" s="72">
        <f>SUM(W28+V30)</f>
        <v>-32583.57449999998</v>
      </c>
      <c r="X30" s="53"/>
      <c r="Y30" s="47"/>
    </row>
    <row r="31" spans="1:25" ht="9" customHeight="1" hidden="1" thickBot="1">
      <c r="A31" s="35" t="s">
        <v>43</v>
      </c>
      <c r="B31" s="44" t="s">
        <v>7</v>
      </c>
      <c r="C31" s="39"/>
      <c r="D31" s="39"/>
      <c r="E31" s="62"/>
      <c r="F31" s="62"/>
      <c r="G31" s="62"/>
      <c r="H31" s="62"/>
      <c r="I31" s="62"/>
      <c r="J31" s="62"/>
      <c r="K31" s="6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9"/>
      <c r="X31" s="52"/>
      <c r="Y31" s="48"/>
    </row>
    <row r="32" spans="1:25" ht="15" customHeight="1" hidden="1" thickBot="1">
      <c r="A32" s="36" t="s">
        <v>44</v>
      </c>
      <c r="B32" s="32" t="s">
        <v>24</v>
      </c>
      <c r="C32" s="39"/>
      <c r="D32" s="39"/>
      <c r="E32" s="62"/>
      <c r="F32" s="62"/>
      <c r="G32" s="62"/>
      <c r="H32" s="62"/>
      <c r="I32" s="62"/>
      <c r="J32" s="62"/>
      <c r="K32" s="6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"/>
      <c r="X32" s="53"/>
      <c r="Y32" s="49"/>
    </row>
    <row r="33" spans="1:25" ht="24" customHeight="1" hidden="1" thickBot="1">
      <c r="A33" s="36" t="s">
        <v>46</v>
      </c>
      <c r="B33" s="33" t="s">
        <v>47</v>
      </c>
      <c r="C33" s="40"/>
      <c r="D33" s="40"/>
      <c r="E33" s="58"/>
      <c r="F33" s="58"/>
      <c r="G33" s="58"/>
      <c r="H33" s="58"/>
      <c r="I33" s="58"/>
      <c r="J33" s="58"/>
      <c r="K33" s="58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>
        <f>SUM(W29-W31)</f>
        <v>-9219.246000000008</v>
      </c>
      <c r="X33" s="54"/>
      <c r="Y33" s="50"/>
    </row>
    <row r="34" spans="1:25" ht="23.25" customHeight="1" hidden="1" thickBot="1">
      <c r="A34" s="45" t="s">
        <v>49</v>
      </c>
      <c r="B34" s="33" t="s">
        <v>25</v>
      </c>
      <c r="C34" s="40"/>
      <c r="D34" s="58"/>
      <c r="E34" s="58"/>
      <c r="F34" s="58"/>
      <c r="G34" s="58"/>
      <c r="H34" s="58"/>
      <c r="I34" s="58"/>
      <c r="J34" s="58"/>
      <c r="K34" s="58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>
        <f>SUM(W30-W31)</f>
        <v>-32583.57449999998</v>
      </c>
      <c r="X34" s="54"/>
      <c r="Y34" s="50"/>
    </row>
    <row r="35" spans="3:25" ht="24" customHeight="1" hidden="1"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</row>
    <row r="36" ht="12.75" hidden="1"/>
    <row r="37" ht="12.75" hidden="1"/>
    <row r="38" ht="12.75" hidden="1"/>
    <row r="39" ht="12.75">
      <c r="B39" t="s">
        <v>62</v>
      </c>
    </row>
    <row r="43" ht="12.75" customHeight="1"/>
    <row r="44" ht="12.75" customHeight="1"/>
  </sheetData>
  <sheetProtection/>
  <mergeCells count="5">
    <mergeCell ref="B4:Y4"/>
    <mergeCell ref="B5:Y5"/>
    <mergeCell ref="B3:Y3"/>
    <mergeCell ref="B1:N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2020-02-07T12:53:30Z</cp:lastPrinted>
  <dcterms:created xsi:type="dcterms:W3CDTF">2011-06-16T11:06:26Z</dcterms:created>
  <dcterms:modified xsi:type="dcterms:W3CDTF">2020-02-07T12:59:39Z</dcterms:modified>
  <cp:category/>
  <cp:version/>
  <cp:contentType/>
  <cp:contentStatus/>
</cp:coreProperties>
</file>