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<sst xmlns="http://schemas.openxmlformats.org/spreadsheetml/2006/main" count="80" uniqueCount="80">
  <si>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</si>
  <si>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</si>
  <si>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</si>
  <si>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</si>
  <si>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</si>
  <si>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</si>
  <si>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</si>
  <si>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</si>
  <si>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</si>
  <si>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</si>
  <si>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</si>
  <si>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</si>
  <si>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</si>
  <si>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</si>
  <si>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</si>
  <si>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</si>
  <si>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</si>
  <si>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</si>
  <si>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</si>
  <si>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</si>
  <si>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</si>
  <si>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</si>
  <si>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</si>
  <si>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</si>
  <si>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</si>
  <si>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</si>
  <si>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</si>
  <si>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</si>
  <si>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</si>
  <si>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</si>
  <si>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</si>
  <si>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</si>
  <si>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</si>
  <si>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</si>
  <si>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</si>
  <si>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</si>
  <si>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</si>
  <si>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</si>
  <si>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</si>
  <si>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</si>
  <si>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</si>
  <si>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</si>
  <si>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</si>
  <si>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</si>
  <si>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</si>
  <si>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</si>
  <si>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Пролетарская д.7</t>
  </si>
  <si>
    <t>Итого за 2011 г</t>
  </si>
  <si>
    <t>Проверка дымовых каналов</t>
  </si>
  <si>
    <t>11</t>
  </si>
  <si>
    <t>Результат за месяц</t>
  </si>
  <si>
    <t>Итого за 2012 г</t>
  </si>
  <si>
    <t>4.12</t>
  </si>
  <si>
    <t>4.13</t>
  </si>
  <si>
    <t>4.14</t>
  </si>
  <si>
    <t>Итого за 2013 г</t>
  </si>
  <si>
    <t>Итого за 2014 г</t>
  </si>
  <si>
    <t xml:space="preserve">Материалы </t>
  </si>
  <si>
    <t>рентабельность 5%</t>
  </si>
  <si>
    <t>Итого за 2015 г</t>
  </si>
  <si>
    <t>Услуги сторонних орган.</t>
  </si>
  <si>
    <t xml:space="preserve">Расходы на управление,аренда, связь </t>
  </si>
  <si>
    <t>Исполнитель  вед. экономист /Викторова Л.С/</t>
  </si>
  <si>
    <t xml:space="preserve">Услуги агентские,охрана труда,отопление, хол.вода, эл.энегрия   </t>
  </si>
  <si>
    <t>Итого за 2016 г</t>
  </si>
  <si>
    <t>Итого за 2017 г</t>
  </si>
  <si>
    <t>Начислено  СОИД</t>
  </si>
  <si>
    <t>Начислено  нежилые</t>
  </si>
  <si>
    <t>Электроэнергия СОИД</t>
  </si>
  <si>
    <t>Холодная вода СОИД</t>
  </si>
  <si>
    <t>Канализация СОИД</t>
  </si>
  <si>
    <t>Транспортные(ГСМ,зап.части,амортизация,страхов)</t>
  </si>
  <si>
    <t>Дератизация</t>
  </si>
  <si>
    <t>Благоустр территории</t>
  </si>
  <si>
    <t>Итого за 2018 г</t>
  </si>
  <si>
    <t>Итого за 2019 г</t>
  </si>
  <si>
    <t>Всего за 2010-2019</t>
  </si>
  <si>
    <t>Вывоз ТБО (Утилизация)</t>
  </si>
  <si>
    <t>Дом по ул.Пролетарская  д.7 вступил в ООО "Наш дом" с апреля 2010  года            тариф 9,2 руб с января 2019 года тариф 8,6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</si>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</sst>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5" fillId="0" borderId="27" xfId="0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9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1" fillId="0" borderId="32" xfId="0" applyFont="1" applyBorder="1" applyAlignment="1">
      <alignment/>
    </xf>
    <xf numFmtId="49" fontId="0" fillId="0" borderId="35" xfId="0" applyNumberFormat="1" applyBorder="1" applyAlignment="1">
      <alignment horizontal="center"/>
    </xf>
    <xf numFmtId="0" fontId="21" fillId="0" borderId="38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0" fontId="26" fillId="0" borderId="32" xfId="0" applyFont="1" applyBorder="1" applyAlignment="1">
      <alignment wrapText="1"/>
    </xf>
    <xf numFmtId="0" fontId="26" fillId="0" borderId="37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19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/>
    </xf>
    <xf numFmtId="2" fontId="21" fillId="0" borderId="35" xfId="0" applyNumberFormat="1" applyFont="1" applyBorder="1" applyAlignment="1">
      <alignment horizontal="right" wrapText="1"/>
    </xf>
    <xf numFmtId="2" fontId="27" fillId="0" borderId="45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2" fontId="21" fillId="0" borderId="47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0" fontId="28" fillId="0" borderId="27" xfId="0" applyFont="1" applyBorder="1" applyAlignment="1">
      <alignment horizontal="center" vertical="center" wrapText="1"/>
    </xf>
    <xf numFmtId="0" fontId="20" fillId="0" borderId="32" xfId="0" applyFont="1" applyBorder="1" applyAlignment="1">
      <alignment/>
    </xf>
    <xf numFmtId="2" fontId="20" fillId="0" borderId="35" xfId="0" applyNumberFormat="1" applyFont="1" applyBorder="1" applyAlignment="1">
      <alignment/>
    </xf>
    <xf numFmtId="2" fontId="20" fillId="0" borderId="45" xfId="0" applyNumberFormat="1" applyFont="1" applyBorder="1" applyAlignment="1">
      <alignment/>
    </xf>
    <xf numFmtId="2" fontId="21" fillId="0" borderId="39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9" fillId="0" borderId="35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40" xfId="0" applyFont="1" applyBorder="1" applyAlignment="1">
      <alignment/>
    </xf>
    <xf numFmtId="0" fontId="29" fillId="0" borderId="11" xfId="0" applyFont="1" applyBorder="1" applyAlignment="1">
      <alignment/>
    </xf>
    <xf numFmtId="2" fontId="30" fillId="0" borderId="35" xfId="0" applyNumberFormat="1" applyFont="1" applyBorder="1" applyAlignment="1">
      <alignment/>
    </xf>
    <xf numFmtId="0" fontId="22" fillId="0" borderId="0" xfId="0" applyFont="1" applyAlignment="1">
      <alignment/>
    </xf>
    <xf numFmtId="0" fontId="29" fillId="0" borderId="45" xfId="0" applyFont="1" applyBorder="1" applyAlignment="1">
      <alignment wrapText="1"/>
    </xf>
    <xf numFmtId="0" fontId="29" fillId="0" borderId="46" xfId="0" applyFont="1" applyBorder="1" applyAlignment="1">
      <alignment wrapText="1"/>
    </xf>
    <xf numFmtId="0" fontId="29" fillId="0" borderId="49" xfId="0" applyFont="1" applyBorder="1" applyAlignment="1">
      <alignment/>
    </xf>
    <xf numFmtId="0" fontId="29" fillId="0" borderId="46" xfId="0" applyFont="1" applyBorder="1" applyAlignment="1">
      <alignment/>
    </xf>
    <xf numFmtId="2" fontId="29" fillId="0" borderId="49" xfId="0" applyNumberFormat="1" applyFont="1" applyBorder="1" applyAlignment="1">
      <alignment/>
    </xf>
    <xf numFmtId="2" fontId="29" fillId="0" borderId="46" xfId="0" applyNumberFormat="1" applyFont="1" applyBorder="1" applyAlignment="1">
      <alignment/>
    </xf>
    <xf numFmtId="2" fontId="29" fillId="0" borderId="35" xfId="0" applyNumberFormat="1" applyFont="1" applyBorder="1" applyAlignment="1">
      <alignment/>
    </xf>
    <xf numFmtId="2" fontId="29" fillId="0" borderId="48" xfId="0" applyNumberFormat="1" applyFont="1" applyBorder="1" applyAlignment="1">
      <alignment/>
    </xf>
    <xf numFmtId="2" fontId="29" fillId="0" borderId="50" xfId="0" applyNumberFormat="1" applyFont="1" applyBorder="1" applyAlignment="1">
      <alignment/>
    </xf>
    <xf numFmtId="0" fontId="31" fillId="0" borderId="45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PageLayoutView="0" workbookViewId="0" topLeftCell="B7">
      <selection activeCell="B1" sqref="B1:N1"/>
    </sheetView>
  </sheetViews>
  <sheetFormatPr defaultColWidth="9.00390625" defaultRowHeight="12.75"/>
  <cols>
    <col min="1" max="1" width="4.00390625" style="26" hidden="1" customWidth="1"/>
    <col min="2" max="2" width="20.125" style="0" customWidth="1"/>
    <col min="3" max="3" width="9.375" style="0" hidden="1" customWidth="1"/>
    <col min="4" max="4" width="9.875" style="0" hidden="1" customWidth="1"/>
    <col min="5" max="5" width="9.625" style="0" hidden="1" customWidth="1"/>
    <col min="6" max="6" width="8.375" style="0" hidden="1" customWidth="1"/>
    <col min="7" max="11" width="9.00390625" style="0" hidden="1" customWidth="1"/>
    <col min="12" max="12" width="9.125" style="0" customWidth="1"/>
    <col min="13" max="13" width="8.75390625" style="0" customWidth="1"/>
    <col min="14" max="14" width="8.625" style="0" customWidth="1"/>
    <col min="15" max="15" width="9.375" style="0" customWidth="1"/>
    <col min="16" max="17" width="9.00390625" style="0" customWidth="1"/>
    <col min="18" max="18" width="9.125" style="0" customWidth="1"/>
    <col min="19" max="19" width="8.75390625" style="0" customWidth="1"/>
    <col min="20" max="20" width="8.625" style="0" customWidth="1"/>
    <col min="21" max="21" width="8.75390625" style="0" customWidth="1"/>
    <col min="22" max="22" width="8.625" style="0" customWidth="1"/>
    <col min="23" max="24" width="9.00390625" style="0" customWidth="1"/>
    <col min="25" max="25" width="9.375" style="0" customWidth="1"/>
  </cols>
  <sheetData>
    <row r="1" spans="2:30" ht="12.75" customHeight="1">
      <c r="B1" s="99" t="s">
        <v>79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99" t="s">
        <v>78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100"/>
      <c r="X2" s="100"/>
      <c r="Y2" s="4"/>
      <c r="Z2" s="4"/>
      <c r="AA2" s="4"/>
      <c r="AB2" s="4"/>
      <c r="AC2" s="4"/>
      <c r="AD2" s="4"/>
    </row>
    <row r="3" spans="2:30" ht="12.75" customHeight="1">
      <c r="B3" s="98" t="s">
        <v>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3"/>
      <c r="AA3" s="3"/>
      <c r="AB3" s="3"/>
      <c r="AC3" s="3"/>
      <c r="AD3" s="3"/>
    </row>
    <row r="4" spans="2:30" ht="15" customHeight="1">
      <c r="B4" s="97" t="s">
        <v>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2"/>
      <c r="AA4" s="2"/>
      <c r="AB4" s="2"/>
      <c r="AC4" s="2"/>
      <c r="AD4" s="2"/>
    </row>
    <row r="5" spans="2:30" ht="12.75" customHeight="1" thickBot="1">
      <c r="B5" s="97" t="s">
        <v>46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2"/>
      <c r="AA5" s="2"/>
      <c r="AB5" s="2"/>
      <c r="AC5" s="2"/>
      <c r="AD5" s="2"/>
    </row>
    <row r="6" spans="2:30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26.25" customHeight="1" thickBot="1">
      <c r="A7" s="35" t="s">
        <v>25</v>
      </c>
      <c r="B7" s="27" t="s">
        <v>5</v>
      </c>
      <c r="C7" s="38" t="s">
        <v>43</v>
      </c>
      <c r="D7" s="61" t="s">
        <v>47</v>
      </c>
      <c r="E7" s="49" t="s">
        <v>51</v>
      </c>
      <c r="F7" s="49" t="s">
        <v>55</v>
      </c>
      <c r="G7" s="61" t="s">
        <v>56</v>
      </c>
      <c r="H7" s="49" t="s">
        <v>59</v>
      </c>
      <c r="I7" s="49" t="s">
        <v>64</v>
      </c>
      <c r="J7" s="49" t="s">
        <v>65</v>
      </c>
      <c r="K7" s="49" t="s">
        <v>74</v>
      </c>
      <c r="L7" s="6" t="s">
        <v>9</v>
      </c>
      <c r="M7" s="5" t="s">
        <v>10</v>
      </c>
      <c r="N7" s="5" t="s">
        <v>11</v>
      </c>
      <c r="O7" s="5" t="s">
        <v>12</v>
      </c>
      <c r="P7" s="5" t="s">
        <v>13</v>
      </c>
      <c r="Q7" s="5" t="s">
        <v>14</v>
      </c>
      <c r="R7" s="5" t="s">
        <v>15</v>
      </c>
      <c r="S7" s="5" t="s">
        <v>16</v>
      </c>
      <c r="T7" s="5" t="s">
        <v>17</v>
      </c>
      <c r="U7" s="5" t="s">
        <v>18</v>
      </c>
      <c r="V7" s="5" t="s">
        <v>20</v>
      </c>
      <c r="W7" s="15" t="s">
        <v>19</v>
      </c>
      <c r="X7" s="49" t="s">
        <v>75</v>
      </c>
      <c r="Y7" s="74" t="s">
        <v>76</v>
      </c>
      <c r="Z7" s="1"/>
      <c r="AA7" s="1"/>
      <c r="AB7" s="1"/>
      <c r="AC7" s="1"/>
      <c r="AD7" s="1"/>
    </row>
    <row r="8" spans="1:25" ht="13.5" thickBot="1">
      <c r="A8" s="36" t="s">
        <v>26</v>
      </c>
      <c r="B8" s="28" t="s">
        <v>1</v>
      </c>
      <c r="C8" s="57">
        <v>100757.47</v>
      </c>
      <c r="D8" s="62">
        <v>139519.84</v>
      </c>
      <c r="E8" s="58">
        <v>139672.56</v>
      </c>
      <c r="F8" s="57">
        <v>139751.68</v>
      </c>
      <c r="G8" s="62">
        <v>139909.92</v>
      </c>
      <c r="H8" s="57">
        <v>146378</v>
      </c>
      <c r="I8" s="57">
        <v>140012.96</v>
      </c>
      <c r="J8" s="57">
        <v>135504.96</v>
      </c>
      <c r="K8" s="57">
        <v>135475.52</v>
      </c>
      <c r="L8" s="7">
        <v>10541.88</v>
      </c>
      <c r="M8" s="7">
        <v>10541.88</v>
      </c>
      <c r="N8" s="7">
        <v>10541.88</v>
      </c>
      <c r="O8" s="7">
        <v>10541.88</v>
      </c>
      <c r="P8" s="7">
        <v>10546.18</v>
      </c>
      <c r="Q8" s="7">
        <v>10546.18</v>
      </c>
      <c r="R8" s="7">
        <v>10546.18</v>
      </c>
      <c r="S8" s="7">
        <v>10546.18</v>
      </c>
      <c r="T8" s="7">
        <v>10543.6</v>
      </c>
      <c r="U8" s="7">
        <v>10543.6</v>
      </c>
      <c r="V8" s="7">
        <v>10547.9</v>
      </c>
      <c r="W8" s="7">
        <v>10547.9</v>
      </c>
      <c r="X8" s="53">
        <f>SUM(L8:W8)</f>
        <v>126535.23999999999</v>
      </c>
      <c r="Y8" s="75">
        <f>SUM(C8:W8)</f>
        <v>1343518.1499999992</v>
      </c>
    </row>
    <row r="9" spans="1:25" ht="13.5" thickBot="1">
      <c r="A9" s="36"/>
      <c r="B9" s="28" t="s">
        <v>66</v>
      </c>
      <c r="C9" s="58"/>
      <c r="D9" s="62"/>
      <c r="E9" s="58"/>
      <c r="F9" s="58"/>
      <c r="G9" s="62"/>
      <c r="H9" s="58"/>
      <c r="I9" s="58"/>
      <c r="J9" s="58">
        <v>6786.91</v>
      </c>
      <c r="K9" s="58">
        <v>4312.3</v>
      </c>
      <c r="L9" s="7">
        <f>58.94+52.17</f>
        <v>111.11</v>
      </c>
      <c r="M9" s="7">
        <f>58.94+52.17</f>
        <v>111.11</v>
      </c>
      <c r="N9" s="7">
        <f>58.94+52.17</f>
        <v>111.11</v>
      </c>
      <c r="O9" s="7">
        <f>58.94+52.17</f>
        <v>111.11</v>
      </c>
      <c r="P9" s="7">
        <f>58.95+52.18</f>
        <v>111.13</v>
      </c>
      <c r="Q9" s="7">
        <f>58.95+52.18</f>
        <v>111.13</v>
      </c>
      <c r="R9" s="8">
        <f aca="true" t="shared" si="0" ref="R9:W9">59.99+58.02</f>
        <v>118.01</v>
      </c>
      <c r="S9" s="8">
        <f t="shared" si="0"/>
        <v>118.01</v>
      </c>
      <c r="T9" s="8">
        <f t="shared" si="0"/>
        <v>118.01</v>
      </c>
      <c r="U9" s="8">
        <f t="shared" si="0"/>
        <v>118.01</v>
      </c>
      <c r="V9" s="8">
        <f t="shared" si="0"/>
        <v>118.01</v>
      </c>
      <c r="W9" s="8">
        <f t="shared" si="0"/>
        <v>118.01</v>
      </c>
      <c r="X9" s="53">
        <f>SUM(L9:W9)</f>
        <v>1374.76</v>
      </c>
      <c r="Y9" s="75">
        <f>SUM(C9:W9)</f>
        <v>12473.970000000001</v>
      </c>
    </row>
    <row r="10" spans="1:25" ht="11.25" customHeight="1" thickBot="1">
      <c r="A10" s="36"/>
      <c r="B10" s="28" t="s">
        <v>67</v>
      </c>
      <c r="C10" s="58"/>
      <c r="D10" s="62"/>
      <c r="E10" s="58"/>
      <c r="F10" s="58"/>
      <c r="G10" s="62"/>
      <c r="H10" s="58"/>
      <c r="I10" s="58"/>
      <c r="J10" s="58">
        <v>4732.61</v>
      </c>
      <c r="K10" s="58">
        <v>4744.68</v>
      </c>
      <c r="L10" s="7">
        <v>371.41</v>
      </c>
      <c r="M10" s="7">
        <v>371.41</v>
      </c>
      <c r="N10" s="7">
        <v>371.41</v>
      </c>
      <c r="O10" s="7">
        <v>371.41</v>
      </c>
      <c r="P10" s="7">
        <v>371.41</v>
      </c>
      <c r="Q10" s="7">
        <v>371.41</v>
      </c>
      <c r="R10" s="8">
        <v>372.18</v>
      </c>
      <c r="S10" s="8">
        <v>372.18</v>
      </c>
      <c r="T10" s="8">
        <v>372.18</v>
      </c>
      <c r="U10" s="8">
        <v>372.18</v>
      </c>
      <c r="V10" s="8">
        <v>372.18</v>
      </c>
      <c r="W10" s="8">
        <v>372.18</v>
      </c>
      <c r="X10" s="53">
        <f>SUM(L10:W10)</f>
        <v>4461.539999999999</v>
      </c>
      <c r="Y10" s="75">
        <f>SUM(C10:W10)</f>
        <v>13938.830000000002</v>
      </c>
    </row>
    <row r="11" spans="1:25" s="86" customFormat="1" ht="13.5" thickBot="1">
      <c r="A11" s="79" t="s">
        <v>27</v>
      </c>
      <c r="B11" s="80" t="s">
        <v>2</v>
      </c>
      <c r="C11" s="81">
        <f aca="true" t="shared" si="1" ref="C11:L11">SUM(C12:C26)</f>
        <v>107264.48000000001</v>
      </c>
      <c r="D11" s="82">
        <f t="shared" si="1"/>
        <v>128539.39</v>
      </c>
      <c r="E11" s="81">
        <f t="shared" si="1"/>
        <v>172460.09</v>
      </c>
      <c r="F11" s="81">
        <f t="shared" si="1"/>
        <v>178277.43000000002</v>
      </c>
      <c r="G11" s="83">
        <f t="shared" si="1"/>
        <v>147633.25999999998</v>
      </c>
      <c r="H11" s="81">
        <f>SUM(H12:H26)</f>
        <v>153987.65999999997</v>
      </c>
      <c r="I11" s="81">
        <f>SUM(I12:I26)</f>
        <v>154736.25</v>
      </c>
      <c r="J11" s="81">
        <f>SUM(J12:J26)</f>
        <v>152270.47</v>
      </c>
      <c r="K11" s="81">
        <f t="shared" si="1"/>
        <v>161187.36</v>
      </c>
      <c r="L11" s="84">
        <f t="shared" si="1"/>
        <v>11022.41</v>
      </c>
      <c r="M11" s="84">
        <f aca="true" t="shared" si="2" ref="M11:W11">SUM(M12:M26)</f>
        <v>12308.64</v>
      </c>
      <c r="N11" s="84">
        <f t="shared" si="2"/>
        <v>9823.41</v>
      </c>
      <c r="O11" s="84">
        <f t="shared" si="2"/>
        <v>9971.88</v>
      </c>
      <c r="P11" s="84">
        <f t="shared" si="2"/>
        <v>10481.59</v>
      </c>
      <c r="Q11" s="84">
        <f t="shared" si="2"/>
        <v>10302.54</v>
      </c>
      <c r="R11" s="84">
        <f t="shared" si="2"/>
        <v>10439.510000000002</v>
      </c>
      <c r="S11" s="84">
        <f t="shared" si="2"/>
        <v>10121.32</v>
      </c>
      <c r="T11" s="84">
        <f t="shared" si="2"/>
        <v>10283.11</v>
      </c>
      <c r="U11" s="84">
        <f t="shared" si="2"/>
        <v>11727.98</v>
      </c>
      <c r="V11" s="84">
        <f t="shared" si="2"/>
        <v>17678.03</v>
      </c>
      <c r="W11" s="82">
        <f t="shared" si="2"/>
        <v>10986.81</v>
      </c>
      <c r="X11" s="81">
        <f>SUM(L11:W11)</f>
        <v>135147.22999999998</v>
      </c>
      <c r="Y11" s="85">
        <f>SUM(C11:W11)</f>
        <v>1491503.62</v>
      </c>
    </row>
    <row r="12" spans="1:25" ht="13.5" thickBot="1">
      <c r="A12" s="36" t="s">
        <v>28</v>
      </c>
      <c r="B12" s="30" t="s">
        <v>77</v>
      </c>
      <c r="C12" s="42">
        <v>20862.16</v>
      </c>
      <c r="D12" s="63">
        <v>31424.19</v>
      </c>
      <c r="E12" s="42">
        <v>33884.31</v>
      </c>
      <c r="F12" s="42">
        <v>41057.17</v>
      </c>
      <c r="G12" s="63">
        <v>38313.32</v>
      </c>
      <c r="H12" s="42">
        <v>33222.79</v>
      </c>
      <c r="I12" s="42">
        <v>30115.29</v>
      </c>
      <c r="J12" s="42">
        <v>29457.74</v>
      </c>
      <c r="K12" s="42">
        <v>29138.17</v>
      </c>
      <c r="L12" s="7"/>
      <c r="M12" s="8"/>
      <c r="N12" s="8"/>
      <c r="O12" s="8">
        <v>69.52</v>
      </c>
      <c r="P12" s="8">
        <v>53.12</v>
      </c>
      <c r="Q12" s="8">
        <v>19.23</v>
      </c>
      <c r="R12" s="8">
        <v>50.68</v>
      </c>
      <c r="S12" s="8">
        <v>37.43</v>
      </c>
      <c r="T12" s="8">
        <v>9.19</v>
      </c>
      <c r="U12" s="8">
        <v>31.49</v>
      </c>
      <c r="V12" s="8">
        <v>25.64</v>
      </c>
      <c r="W12" s="16">
        <v>17.37</v>
      </c>
      <c r="X12" s="51">
        <f aca="true" t="shared" si="3" ref="X12:X28">SUM(L12:W12)</f>
        <v>313.66999999999996</v>
      </c>
      <c r="Y12" s="76">
        <f aca="true" t="shared" si="4" ref="Y12:Y26">SUM(C12:W12)</f>
        <v>287788.81</v>
      </c>
    </row>
    <row r="13" spans="1:25" ht="15.75" customHeight="1" thickBot="1">
      <c r="A13" s="36" t="s">
        <v>29</v>
      </c>
      <c r="B13" s="31" t="s">
        <v>60</v>
      </c>
      <c r="C13" s="43">
        <v>20486.87</v>
      </c>
      <c r="D13" s="64">
        <v>11661.62</v>
      </c>
      <c r="E13" s="43">
        <v>187.58</v>
      </c>
      <c r="F13" s="43">
        <v>176.73</v>
      </c>
      <c r="G13" s="64">
        <v>2622.9</v>
      </c>
      <c r="H13" s="43">
        <v>3640.45</v>
      </c>
      <c r="I13" s="43">
        <v>827.24</v>
      </c>
      <c r="J13" s="43">
        <v>1043.08</v>
      </c>
      <c r="K13" s="43">
        <v>1221.7</v>
      </c>
      <c r="L13" s="9"/>
      <c r="M13" s="10">
        <v>600</v>
      </c>
      <c r="N13" s="10"/>
      <c r="O13" s="10"/>
      <c r="P13" s="10"/>
      <c r="Q13" s="10"/>
      <c r="R13" s="10"/>
      <c r="S13" s="10"/>
      <c r="T13" s="10"/>
      <c r="U13" s="10"/>
      <c r="V13" s="10"/>
      <c r="W13" s="17"/>
      <c r="X13" s="51">
        <f t="shared" si="3"/>
        <v>600</v>
      </c>
      <c r="Y13" s="76">
        <f t="shared" si="4"/>
        <v>42468.16999999999</v>
      </c>
    </row>
    <row r="14" spans="1:25" ht="15.75" customHeight="1" thickBot="1">
      <c r="A14" s="36" t="s">
        <v>30</v>
      </c>
      <c r="B14" s="29" t="s">
        <v>4</v>
      </c>
      <c r="C14" s="43">
        <v>3212.56</v>
      </c>
      <c r="D14" s="64">
        <v>0</v>
      </c>
      <c r="E14" s="43">
        <v>0</v>
      </c>
      <c r="F14" s="43">
        <v>6665.82</v>
      </c>
      <c r="G14" s="64"/>
      <c r="H14" s="43">
        <v>0</v>
      </c>
      <c r="I14" s="43">
        <v>7005.5</v>
      </c>
      <c r="J14" s="43">
        <v>0</v>
      </c>
      <c r="K14" s="43">
        <v>9285.85</v>
      </c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>
        <v>7234.6</v>
      </c>
      <c r="W14" s="17"/>
      <c r="X14" s="51">
        <f t="shared" si="3"/>
        <v>7234.6</v>
      </c>
      <c r="Y14" s="76">
        <f t="shared" si="4"/>
        <v>33404.329999999994</v>
      </c>
    </row>
    <row r="15" spans="1:25" ht="21" customHeight="1" thickBot="1">
      <c r="A15" s="36" t="s">
        <v>31</v>
      </c>
      <c r="B15" s="29" t="s">
        <v>48</v>
      </c>
      <c r="C15" s="43">
        <v>0</v>
      </c>
      <c r="D15" s="64">
        <v>1532.44</v>
      </c>
      <c r="E15" s="43">
        <v>0</v>
      </c>
      <c r="F15" s="43">
        <v>0</v>
      </c>
      <c r="G15" s="64"/>
      <c r="H15" s="43">
        <v>900</v>
      </c>
      <c r="I15" s="43">
        <v>2400</v>
      </c>
      <c r="J15" s="43">
        <v>2000</v>
      </c>
      <c r="K15" s="43">
        <v>1400</v>
      </c>
      <c r="L15" s="9"/>
      <c r="M15" s="10">
        <v>1400</v>
      </c>
      <c r="N15" s="10"/>
      <c r="O15" s="10"/>
      <c r="P15" s="10"/>
      <c r="Q15" s="10"/>
      <c r="R15" s="10"/>
      <c r="S15" s="10"/>
      <c r="T15" s="10"/>
      <c r="U15" s="10"/>
      <c r="V15" s="10"/>
      <c r="W15" s="17"/>
      <c r="X15" s="51">
        <f t="shared" si="3"/>
        <v>1400</v>
      </c>
      <c r="Y15" s="76">
        <f t="shared" si="4"/>
        <v>9632.44</v>
      </c>
    </row>
    <row r="16" spans="1:25" ht="15" customHeight="1" thickBot="1">
      <c r="A16" s="36" t="s">
        <v>32</v>
      </c>
      <c r="B16" s="31" t="s">
        <v>57</v>
      </c>
      <c r="C16" s="43">
        <v>23891.63</v>
      </c>
      <c r="D16" s="64">
        <v>6158.77</v>
      </c>
      <c r="E16" s="43">
        <v>39529.32</v>
      </c>
      <c r="F16" s="43">
        <v>27273.08</v>
      </c>
      <c r="G16" s="64">
        <v>3978.11</v>
      </c>
      <c r="H16" s="43">
        <v>3449.62</v>
      </c>
      <c r="I16" s="43">
        <v>4985.44</v>
      </c>
      <c r="J16" s="43">
        <v>3433.95</v>
      </c>
      <c r="K16" s="43">
        <v>375</v>
      </c>
      <c r="L16" s="9">
        <v>60</v>
      </c>
      <c r="M16" s="10"/>
      <c r="N16" s="10">
        <v>90</v>
      </c>
      <c r="O16" s="10"/>
      <c r="P16" s="10">
        <v>75</v>
      </c>
      <c r="Q16" s="10"/>
      <c r="R16" s="10">
        <v>75</v>
      </c>
      <c r="S16" s="10"/>
      <c r="T16" s="10">
        <v>60</v>
      </c>
      <c r="U16" s="10"/>
      <c r="V16" s="10"/>
      <c r="W16" s="17">
        <v>60</v>
      </c>
      <c r="X16" s="51">
        <f t="shared" si="3"/>
        <v>420</v>
      </c>
      <c r="Y16" s="76">
        <f t="shared" si="4"/>
        <v>113494.92</v>
      </c>
    </row>
    <row r="17" spans="1:25" ht="15.75" customHeight="1" thickBot="1">
      <c r="A17" s="36" t="s">
        <v>33</v>
      </c>
      <c r="B17" s="31" t="s">
        <v>73</v>
      </c>
      <c r="C17" s="43">
        <v>0</v>
      </c>
      <c r="D17" s="64">
        <v>0</v>
      </c>
      <c r="E17" s="43">
        <v>256</v>
      </c>
      <c r="F17" s="43">
        <v>0</v>
      </c>
      <c r="G17" s="64">
        <v>626.17</v>
      </c>
      <c r="H17" s="43">
        <v>0</v>
      </c>
      <c r="I17" s="43">
        <v>186</v>
      </c>
      <c r="J17" s="43">
        <v>101.71</v>
      </c>
      <c r="K17" s="43">
        <v>0</v>
      </c>
      <c r="L17" s="9">
        <v>93.89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7"/>
      <c r="X17" s="51">
        <f>SUM(L17:W17)</f>
        <v>93.89</v>
      </c>
      <c r="Y17" s="76">
        <f>SUM(C17:W17)</f>
        <v>1263.7700000000002</v>
      </c>
    </row>
    <row r="18" spans="1:25" ht="13.5" customHeight="1" thickBot="1">
      <c r="A18" s="36" t="s">
        <v>34</v>
      </c>
      <c r="B18" s="31" t="s">
        <v>68</v>
      </c>
      <c r="C18" s="43">
        <v>2497</v>
      </c>
      <c r="D18" s="64">
        <v>4390.81</v>
      </c>
      <c r="E18" s="43">
        <v>2736.85</v>
      </c>
      <c r="F18" s="43">
        <v>0</v>
      </c>
      <c r="G18" s="64"/>
      <c r="H18" s="43">
        <v>0</v>
      </c>
      <c r="I18" s="43">
        <v>0</v>
      </c>
      <c r="J18" s="43">
        <v>5866.78</v>
      </c>
      <c r="K18" s="43">
        <v>2983.82</v>
      </c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51">
        <f t="shared" si="3"/>
        <v>0</v>
      </c>
      <c r="Y18" s="76">
        <f t="shared" si="4"/>
        <v>18475.26</v>
      </c>
    </row>
    <row r="19" spans="1:25" ht="13.5" customHeight="1" thickBot="1">
      <c r="A19" s="36"/>
      <c r="B19" s="31" t="s">
        <v>69</v>
      </c>
      <c r="C19" s="43"/>
      <c r="D19" s="64"/>
      <c r="E19" s="43"/>
      <c r="F19" s="43"/>
      <c r="G19" s="64"/>
      <c r="H19" s="43"/>
      <c r="I19" s="43"/>
      <c r="J19" s="43">
        <v>577.77</v>
      </c>
      <c r="K19" s="43">
        <v>728.52</v>
      </c>
      <c r="L19" s="9">
        <v>60.9</v>
      </c>
      <c r="M19" s="9">
        <v>60.9</v>
      </c>
      <c r="N19" s="9">
        <v>60.9</v>
      </c>
      <c r="O19" s="9">
        <v>60.9</v>
      </c>
      <c r="P19" s="9">
        <v>60.9</v>
      </c>
      <c r="Q19" s="9">
        <v>60.9</v>
      </c>
      <c r="R19" s="9">
        <v>60.9</v>
      </c>
      <c r="S19" s="10">
        <v>63.12</v>
      </c>
      <c r="T19" s="10">
        <v>62.01</v>
      </c>
      <c r="U19" s="10">
        <v>62.01</v>
      </c>
      <c r="V19" s="10">
        <v>62.01</v>
      </c>
      <c r="W19" s="10">
        <v>62.01</v>
      </c>
      <c r="X19" s="51">
        <f>SUM(L19:W19)</f>
        <v>737.4599999999999</v>
      </c>
      <c r="Y19" s="76">
        <f>SUM(C19:W19)</f>
        <v>2043.7500000000005</v>
      </c>
    </row>
    <row r="20" spans="1:25" ht="13.5" customHeight="1" thickBot="1">
      <c r="A20" s="36"/>
      <c r="B20" s="31" t="s">
        <v>70</v>
      </c>
      <c r="C20" s="43"/>
      <c r="D20" s="64"/>
      <c r="E20" s="43"/>
      <c r="F20" s="43"/>
      <c r="G20" s="64"/>
      <c r="H20" s="43"/>
      <c r="I20" s="43"/>
      <c r="J20" s="43">
        <v>362.89</v>
      </c>
      <c r="K20" s="43">
        <v>644.16</v>
      </c>
      <c r="L20" s="9">
        <v>53.91</v>
      </c>
      <c r="M20" s="9">
        <v>53.91</v>
      </c>
      <c r="N20" s="9">
        <v>53.91</v>
      </c>
      <c r="O20" s="9">
        <v>53.91</v>
      </c>
      <c r="P20" s="9">
        <v>53.91</v>
      </c>
      <c r="Q20" s="9">
        <v>53.91</v>
      </c>
      <c r="R20" s="9">
        <v>53.91</v>
      </c>
      <c r="S20" s="10">
        <v>59.98</v>
      </c>
      <c r="T20" s="10">
        <v>59.98</v>
      </c>
      <c r="U20" s="10">
        <v>59.98</v>
      </c>
      <c r="V20" s="10">
        <v>59.98</v>
      </c>
      <c r="W20" s="10">
        <v>59.98</v>
      </c>
      <c r="X20" s="51">
        <f>SUM(L20:W20)</f>
        <v>677.27</v>
      </c>
      <c r="Y20" s="76">
        <f>SUM(C20:W20)</f>
        <v>1684.3200000000006</v>
      </c>
    </row>
    <row r="21" spans="1:25" ht="16.5" customHeight="1" thickBot="1">
      <c r="A21" s="36" t="s">
        <v>35</v>
      </c>
      <c r="B21" s="31" t="s">
        <v>72</v>
      </c>
      <c r="C21" s="43">
        <v>758.32</v>
      </c>
      <c r="D21" s="64">
        <v>480.06</v>
      </c>
      <c r="E21" s="43">
        <v>514.8</v>
      </c>
      <c r="F21" s="43">
        <v>471.38</v>
      </c>
      <c r="G21" s="64"/>
      <c r="H21" s="43">
        <v>346.88</v>
      </c>
      <c r="I21" s="43">
        <v>0</v>
      </c>
      <c r="J21" s="43">
        <v>0</v>
      </c>
      <c r="K21" s="43">
        <v>0</v>
      </c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7"/>
      <c r="X21" s="51">
        <f t="shared" si="3"/>
        <v>0</v>
      </c>
      <c r="Y21" s="76">
        <f t="shared" si="4"/>
        <v>2571.44</v>
      </c>
    </row>
    <row r="22" spans="1:25" ht="21" customHeight="1" thickBot="1">
      <c r="A22" s="36" t="s">
        <v>36</v>
      </c>
      <c r="B22" s="31" t="s">
        <v>71</v>
      </c>
      <c r="C22" s="43">
        <v>1663.97</v>
      </c>
      <c r="D22" s="64">
        <v>5943.61</v>
      </c>
      <c r="E22" s="43">
        <v>8593.6</v>
      </c>
      <c r="F22" s="43">
        <v>8146.69</v>
      </c>
      <c r="G22" s="64">
        <v>4997.09</v>
      </c>
      <c r="H22" s="43">
        <v>5896.6</v>
      </c>
      <c r="I22" s="43">
        <v>6233.94</v>
      </c>
      <c r="J22" s="43">
        <v>6337.45</v>
      </c>
      <c r="K22" s="43">
        <v>6658.25</v>
      </c>
      <c r="L22" s="9">
        <v>535.74</v>
      </c>
      <c r="M22" s="10">
        <v>561.59</v>
      </c>
      <c r="N22" s="10">
        <v>445.9</v>
      </c>
      <c r="O22" s="10">
        <v>534.03</v>
      </c>
      <c r="P22" s="10">
        <v>444.44</v>
      </c>
      <c r="Q22" s="10">
        <v>340.77</v>
      </c>
      <c r="R22" s="10">
        <v>356.17</v>
      </c>
      <c r="S22" s="10">
        <v>301.88</v>
      </c>
      <c r="T22" s="10">
        <v>339.36</v>
      </c>
      <c r="U22" s="10">
        <v>702.74</v>
      </c>
      <c r="V22" s="10">
        <v>444.54</v>
      </c>
      <c r="W22" s="17">
        <v>378.21</v>
      </c>
      <c r="X22" s="51">
        <f t="shared" si="3"/>
        <v>5385.370000000001</v>
      </c>
      <c r="Y22" s="76">
        <f>SUM(C22:W22)</f>
        <v>59856.569999999985</v>
      </c>
    </row>
    <row r="23" spans="1:25" ht="25.5" customHeight="1" thickBot="1">
      <c r="A23" s="36" t="s">
        <v>37</v>
      </c>
      <c r="B23" s="31" t="s">
        <v>61</v>
      </c>
      <c r="C23" s="43">
        <v>2735.71</v>
      </c>
      <c r="D23" s="64">
        <v>3234.26</v>
      </c>
      <c r="E23" s="43">
        <v>970.56</v>
      </c>
      <c r="F23" s="43">
        <v>690.47</v>
      </c>
      <c r="G23" s="64">
        <v>1503.3</v>
      </c>
      <c r="H23" s="43">
        <v>1016.2</v>
      </c>
      <c r="I23" s="43">
        <v>887.28</v>
      </c>
      <c r="J23" s="43">
        <v>693.22</v>
      </c>
      <c r="K23" s="43">
        <v>671.61</v>
      </c>
      <c r="L23" s="9">
        <v>42.39</v>
      </c>
      <c r="M23" s="10">
        <v>36.55</v>
      </c>
      <c r="N23" s="10">
        <v>31.85</v>
      </c>
      <c r="O23" s="10">
        <v>37.06</v>
      </c>
      <c r="P23" s="10">
        <v>3.92</v>
      </c>
      <c r="Q23" s="10">
        <v>55.57</v>
      </c>
      <c r="R23" s="10">
        <v>62.32</v>
      </c>
      <c r="S23" s="10">
        <v>72.58</v>
      </c>
      <c r="T23" s="10">
        <v>107.85</v>
      </c>
      <c r="U23" s="10">
        <v>26.67</v>
      </c>
      <c r="V23" s="10">
        <v>98.47</v>
      </c>
      <c r="W23" s="17">
        <v>34.65</v>
      </c>
      <c r="X23" s="51">
        <f t="shared" si="3"/>
        <v>609.8799999999999</v>
      </c>
      <c r="Y23" s="76">
        <f t="shared" si="4"/>
        <v>13012.49</v>
      </c>
    </row>
    <row r="24" spans="1:25" ht="33.75" customHeight="1" thickBot="1">
      <c r="A24" s="36" t="s">
        <v>52</v>
      </c>
      <c r="B24" s="31" t="s">
        <v>63</v>
      </c>
      <c r="C24" s="43">
        <v>1890.65</v>
      </c>
      <c r="D24" s="64">
        <v>5213.81</v>
      </c>
      <c r="E24" s="43">
        <v>5045.03</v>
      </c>
      <c r="F24" s="43">
        <v>6773.07</v>
      </c>
      <c r="G24" s="64">
        <v>5828.68</v>
      </c>
      <c r="H24" s="43">
        <v>7568.58</v>
      </c>
      <c r="I24" s="43">
        <v>6489.94</v>
      </c>
      <c r="J24" s="43">
        <v>6614.54</v>
      </c>
      <c r="K24" s="43">
        <v>7487.35</v>
      </c>
      <c r="L24" s="9">
        <f>26.46+256.36+315.77</f>
        <v>598.5899999999999</v>
      </c>
      <c r="M24" s="10">
        <f>24.94+357.18+306.11</f>
        <v>688.23</v>
      </c>
      <c r="N24" s="10">
        <f>21.69+238.14</f>
        <v>259.83</v>
      </c>
      <c r="O24" s="10">
        <f>23.2+263.29+845.98</f>
        <v>1132.47</v>
      </c>
      <c r="P24" s="10">
        <f>22.65+290.84+229.37</f>
        <v>542.8599999999999</v>
      </c>
      <c r="Q24" s="10">
        <f>26.33+202.42+406.14</f>
        <v>634.89</v>
      </c>
      <c r="R24" s="10">
        <f>25.31+342.85+184.97</f>
        <v>553.13</v>
      </c>
      <c r="S24" s="10">
        <f>23.19+210.75+294.86</f>
        <v>528.8</v>
      </c>
      <c r="T24" s="10">
        <f>16.87+187.39+268.43</f>
        <v>472.69</v>
      </c>
      <c r="U24" s="10">
        <f>17.1+300.17+762.73</f>
        <v>1080</v>
      </c>
      <c r="V24" s="10">
        <f>18.91+188.83+196.52</f>
        <v>404.26</v>
      </c>
      <c r="W24" s="17">
        <f>18.87+571.07+329.87</f>
        <v>919.8100000000001</v>
      </c>
      <c r="X24" s="51">
        <f t="shared" si="3"/>
        <v>7815.5599999999995</v>
      </c>
      <c r="Y24" s="76">
        <f t="shared" si="4"/>
        <v>60727.21000000001</v>
      </c>
    </row>
    <row r="25" spans="1:25" ht="15.75" customHeight="1" thickBot="1">
      <c r="A25" s="36" t="s">
        <v>53</v>
      </c>
      <c r="B25" s="31" t="s">
        <v>7</v>
      </c>
      <c r="C25" s="43">
        <v>25930.28</v>
      </c>
      <c r="D25" s="64">
        <v>50236.92</v>
      </c>
      <c r="E25" s="43">
        <v>63371.6</v>
      </c>
      <c r="F25" s="43">
        <v>66913.55</v>
      </c>
      <c r="G25" s="64">
        <v>68572.76</v>
      </c>
      <c r="H25" s="43">
        <v>74967.01</v>
      </c>
      <c r="I25" s="43">
        <v>71796.7</v>
      </c>
      <c r="J25" s="43">
        <v>71944.16</v>
      </c>
      <c r="K25" s="43">
        <v>76089.6</v>
      </c>
      <c r="L25" s="9">
        <f>11022.41-3779.38</f>
        <v>7243.03</v>
      </c>
      <c r="M25" s="10">
        <f>12308.64-5371.01</f>
        <v>6937.629999999999</v>
      </c>
      <c r="N25" s="10">
        <f>9823.41-2684.42</f>
        <v>7138.99</v>
      </c>
      <c r="O25" s="10">
        <f>9970.88-4120.46+1</f>
        <v>5851.419999999999</v>
      </c>
      <c r="P25" s="10">
        <f>10481.59-3289.29</f>
        <v>7192.3</v>
      </c>
      <c r="Q25" s="10">
        <f>10302.54-3268.23</f>
        <v>7034.310000000001</v>
      </c>
      <c r="R25" s="10">
        <f>10439.51-3124.47</f>
        <v>7315.040000000001</v>
      </c>
      <c r="S25" s="10">
        <f>10121.32-3086.4</f>
        <v>7034.92</v>
      </c>
      <c r="T25" s="10">
        <f>10283.11-3455.46</f>
        <v>6827.650000000001</v>
      </c>
      <c r="U25" s="10">
        <f>11727.98-4458.1</f>
        <v>7269.879999999999</v>
      </c>
      <c r="V25" s="10">
        <f>17678.03-10381.92</f>
        <v>7296.109999999999</v>
      </c>
      <c r="W25" s="17">
        <f>10986.81-3755.21</f>
        <v>7231.599999999999</v>
      </c>
      <c r="X25" s="51">
        <f t="shared" si="3"/>
        <v>84372.88000000002</v>
      </c>
      <c r="Y25" s="76">
        <f t="shared" si="4"/>
        <v>654195.4600000002</v>
      </c>
    </row>
    <row r="26" spans="1:25" ht="13.5" customHeight="1" thickBot="1">
      <c r="A26" s="36" t="s">
        <v>54</v>
      </c>
      <c r="B26" s="32" t="s">
        <v>3</v>
      </c>
      <c r="C26" s="44">
        <v>3335.33</v>
      </c>
      <c r="D26" s="65">
        <v>8262.9</v>
      </c>
      <c r="E26" s="44">
        <v>17370.44</v>
      </c>
      <c r="F26" s="44">
        <v>20109.47</v>
      </c>
      <c r="G26" s="65">
        <v>21190.93</v>
      </c>
      <c r="H26" s="44">
        <v>22979.53</v>
      </c>
      <c r="I26" s="44">
        <v>23808.92</v>
      </c>
      <c r="J26" s="44">
        <v>23837.18</v>
      </c>
      <c r="K26" s="44">
        <v>24503.33</v>
      </c>
      <c r="L26" s="11">
        <f>1870.9+4.82+458.24</f>
        <v>2333.96</v>
      </c>
      <c r="M26" s="12">
        <f>1602.1+3.83+363.9</f>
        <v>1969.83</v>
      </c>
      <c r="N26" s="12">
        <f>1410.9+3.38+327.75</f>
        <v>1742.0300000000002</v>
      </c>
      <c r="O26" s="12">
        <f>1823.7+4.36+404.51</f>
        <v>2232.5699999999997</v>
      </c>
      <c r="P26" s="12">
        <f>1672.9+3.99+378.25</f>
        <v>2055.1400000000003</v>
      </c>
      <c r="Q26" s="12">
        <f>1712+4.11+386.85</f>
        <v>2102.96</v>
      </c>
      <c r="R26" s="12">
        <f>1555.9+3.72+352.74</f>
        <v>1912.3600000000001</v>
      </c>
      <c r="S26" s="12">
        <f>1673.1+3.73+345.78</f>
        <v>2022.61</v>
      </c>
      <c r="T26" s="12">
        <f>1916.8+4.7+422.88</f>
        <v>2344.38</v>
      </c>
      <c r="U26" s="12">
        <f>1985.3+13.65+496.26</f>
        <v>2495.21</v>
      </c>
      <c r="V26" s="12">
        <f>1648.1+3.87+400.45</f>
        <v>2052.4199999999996</v>
      </c>
      <c r="W26" s="19">
        <f>1791.6+4.21+427.37</f>
        <v>2223.18</v>
      </c>
      <c r="X26" s="51">
        <f t="shared" si="3"/>
        <v>25486.649999999998</v>
      </c>
      <c r="Y26" s="76">
        <f t="shared" si="4"/>
        <v>190884.68</v>
      </c>
    </row>
    <row r="27" spans="1:25" ht="13.5" customHeight="1" thickBot="1">
      <c r="A27" s="36"/>
      <c r="B27" s="39" t="s">
        <v>58</v>
      </c>
      <c r="C27" s="56"/>
      <c r="D27" s="66"/>
      <c r="E27" s="56"/>
      <c r="F27" s="68"/>
      <c r="G27" s="67">
        <f>G8*5%</f>
        <v>6995.496000000001</v>
      </c>
      <c r="H27" s="67">
        <f>H8*5%</f>
        <v>7318.900000000001</v>
      </c>
      <c r="I27" s="67">
        <f>I8*5%</f>
        <v>7000.648</v>
      </c>
      <c r="J27" s="78">
        <f>J8*5%</f>
        <v>6775.248</v>
      </c>
      <c r="K27" s="78">
        <f>K8*5%</f>
        <v>6773.776</v>
      </c>
      <c r="L27" s="72">
        <f>(L8+L9+L10)*5%</f>
        <v>551.22</v>
      </c>
      <c r="M27" s="72">
        <f aca="true" t="shared" si="5" ref="M27:W27">(M8+M9+M10)*5%</f>
        <v>551.22</v>
      </c>
      <c r="N27" s="72">
        <f t="shared" si="5"/>
        <v>551.22</v>
      </c>
      <c r="O27" s="72">
        <f t="shared" si="5"/>
        <v>551.22</v>
      </c>
      <c r="P27" s="72">
        <f t="shared" si="5"/>
        <v>551.436</v>
      </c>
      <c r="Q27" s="72">
        <f t="shared" si="5"/>
        <v>551.436</v>
      </c>
      <c r="R27" s="72">
        <f t="shared" si="5"/>
        <v>551.8185000000001</v>
      </c>
      <c r="S27" s="72">
        <f t="shared" si="5"/>
        <v>551.8185000000001</v>
      </c>
      <c r="T27" s="72">
        <f t="shared" si="5"/>
        <v>551.6895000000001</v>
      </c>
      <c r="U27" s="72">
        <f t="shared" si="5"/>
        <v>551.6895000000001</v>
      </c>
      <c r="V27" s="72">
        <f t="shared" si="5"/>
        <v>551.9045</v>
      </c>
      <c r="W27" s="72">
        <f t="shared" si="5"/>
        <v>551.9045</v>
      </c>
      <c r="X27" s="67">
        <f t="shared" si="3"/>
        <v>6618.577000000001</v>
      </c>
      <c r="Y27" s="77"/>
    </row>
    <row r="28" spans="1:25" ht="13.5" customHeight="1" thickBot="1">
      <c r="A28" s="36" t="s">
        <v>38</v>
      </c>
      <c r="B28" s="55" t="s">
        <v>50</v>
      </c>
      <c r="C28" s="56"/>
      <c r="D28" s="66"/>
      <c r="E28" s="56"/>
      <c r="F28" s="56"/>
      <c r="G28" s="66"/>
      <c r="H28" s="56"/>
      <c r="I28" s="56"/>
      <c r="J28" s="71">
        <f aca="true" t="shared" si="6" ref="J28:W28">SUM(J8+J9+J10-J11)-J27</f>
        <v>-12021.23800000002</v>
      </c>
      <c r="K28" s="71">
        <f>SUM(K8+K9+K10-K11)-K27</f>
        <v>-23428.636000000013</v>
      </c>
      <c r="L28" s="73">
        <f t="shared" si="6"/>
        <v>-549.2300000000002</v>
      </c>
      <c r="M28" s="73">
        <f t="shared" si="6"/>
        <v>-1835.4599999999998</v>
      </c>
      <c r="N28" s="73">
        <f t="shared" si="6"/>
        <v>649.7699999999998</v>
      </c>
      <c r="O28" s="73">
        <f t="shared" si="6"/>
        <v>501.3000000000004</v>
      </c>
      <c r="P28" s="73">
        <f t="shared" si="6"/>
        <v>-4.306000000000836</v>
      </c>
      <c r="Q28" s="73">
        <f t="shared" si="6"/>
        <v>174.74399999999844</v>
      </c>
      <c r="R28" s="73">
        <f t="shared" si="6"/>
        <v>45.04149999999868</v>
      </c>
      <c r="S28" s="73">
        <f t="shared" si="6"/>
        <v>363.231500000001</v>
      </c>
      <c r="T28" s="73">
        <f t="shared" si="6"/>
        <v>198.99050000000022</v>
      </c>
      <c r="U28" s="73">
        <f t="shared" si="6"/>
        <v>-1245.8794999999986</v>
      </c>
      <c r="V28" s="73">
        <f t="shared" si="6"/>
        <v>-7191.844499999998</v>
      </c>
      <c r="W28" s="73">
        <f t="shared" si="6"/>
        <v>-500.62449999999933</v>
      </c>
      <c r="X28" s="67">
        <f t="shared" si="3"/>
        <v>-9394.267</v>
      </c>
      <c r="Y28" s="69"/>
    </row>
    <row r="29" spans="1:25" ht="25.5" customHeight="1" thickBot="1">
      <c r="A29" s="36" t="s">
        <v>39</v>
      </c>
      <c r="B29" s="87" t="s">
        <v>21</v>
      </c>
      <c r="C29" s="88">
        <v>-6111.4</v>
      </c>
      <c r="D29" s="89">
        <f>SUM(D8-D11)</f>
        <v>10980.449999999997</v>
      </c>
      <c r="E29" s="90">
        <f>SUM(E8-E11)</f>
        <v>-32787.53</v>
      </c>
      <c r="F29" s="90">
        <f>SUM(F8-F11)</f>
        <v>-38525.75000000003</v>
      </c>
      <c r="G29" s="91">
        <f>SUM(G8-G11)-G27</f>
        <v>-14718.835999999968</v>
      </c>
      <c r="H29" s="92">
        <f>SUM(H8-H11)-H27</f>
        <v>-14928.559999999976</v>
      </c>
      <c r="I29" s="92">
        <f>SUM(I8-I11)-I27</f>
        <v>-21723.93800000001</v>
      </c>
      <c r="J29" s="93">
        <f>SUM(J8+J9+J10-J11)-J27</f>
        <v>-12021.23800000002</v>
      </c>
      <c r="K29" s="93">
        <f>SUM(K8+K9+K10-K11)-K27</f>
        <v>-23428.636000000013</v>
      </c>
      <c r="L29" s="94">
        <f>SUM(L8+L9+L10-L11)-L27</f>
        <v>-549.2300000000002</v>
      </c>
      <c r="M29" s="95">
        <f>SUM(M28+L29)</f>
        <v>-2384.69</v>
      </c>
      <c r="N29" s="95">
        <f aca="true" t="shared" si="7" ref="N29:W29">SUM(N28+M29)</f>
        <v>-1734.9200000000003</v>
      </c>
      <c r="O29" s="95">
        <f t="shared" si="7"/>
        <v>-1233.62</v>
      </c>
      <c r="P29" s="95">
        <f t="shared" si="7"/>
        <v>-1237.9260000000008</v>
      </c>
      <c r="Q29" s="95">
        <f t="shared" si="7"/>
        <v>-1063.1820000000025</v>
      </c>
      <c r="R29" s="95">
        <f t="shared" si="7"/>
        <v>-1018.1405000000038</v>
      </c>
      <c r="S29" s="95">
        <f t="shared" si="7"/>
        <v>-654.9090000000028</v>
      </c>
      <c r="T29" s="95">
        <f t="shared" si="7"/>
        <v>-455.9185000000026</v>
      </c>
      <c r="U29" s="95">
        <f t="shared" si="7"/>
        <v>-1701.7980000000011</v>
      </c>
      <c r="V29" s="95">
        <f t="shared" si="7"/>
        <v>-8893.6425</v>
      </c>
      <c r="W29" s="95">
        <f t="shared" si="7"/>
        <v>-9394.267</v>
      </c>
      <c r="X29" s="90"/>
      <c r="Y29" s="96"/>
    </row>
    <row r="30" spans="1:25" ht="23.25" customHeight="1" thickBot="1">
      <c r="A30" s="36" t="s">
        <v>40</v>
      </c>
      <c r="B30" s="39" t="s">
        <v>22</v>
      </c>
      <c r="C30" s="39">
        <v>-6111.4</v>
      </c>
      <c r="D30" s="18">
        <f>SUM(D8-D11,C30)</f>
        <v>4869.049999999997</v>
      </c>
      <c r="E30" s="51">
        <f>SUM(E8-E11,D30)</f>
        <v>-27918.480000000003</v>
      </c>
      <c r="F30" s="51">
        <f>SUM(F8-F11,E30)</f>
        <v>-66444.23000000004</v>
      </c>
      <c r="G30" s="70">
        <f aca="true" t="shared" si="8" ref="G30:L30">SUM(G29+F30)</f>
        <v>-81163.066</v>
      </c>
      <c r="H30" s="67">
        <f t="shared" si="8"/>
        <v>-96091.62599999999</v>
      </c>
      <c r="I30" s="67">
        <f t="shared" si="8"/>
        <v>-117815.564</v>
      </c>
      <c r="J30" s="67">
        <f t="shared" si="8"/>
        <v>-129836.80200000003</v>
      </c>
      <c r="K30" s="67">
        <f t="shared" si="8"/>
        <v>-153265.43800000002</v>
      </c>
      <c r="L30" s="67">
        <f t="shared" si="8"/>
        <v>-153814.66800000003</v>
      </c>
      <c r="M30" s="67">
        <f aca="true" t="shared" si="9" ref="M30:V30">SUM(M28+L30)</f>
        <v>-155650.12800000003</v>
      </c>
      <c r="N30" s="67">
        <f t="shared" si="9"/>
        <v>-155000.35800000004</v>
      </c>
      <c r="O30" s="67">
        <f t="shared" si="9"/>
        <v>-154499.05800000005</v>
      </c>
      <c r="P30" s="51">
        <f t="shared" si="9"/>
        <v>-154503.36400000006</v>
      </c>
      <c r="Q30" s="51">
        <f t="shared" si="9"/>
        <v>-154328.62000000005</v>
      </c>
      <c r="R30" s="67">
        <f t="shared" si="9"/>
        <v>-154283.57850000006</v>
      </c>
      <c r="S30" s="67">
        <f t="shared" si="9"/>
        <v>-153920.34700000007</v>
      </c>
      <c r="T30" s="67">
        <f t="shared" si="9"/>
        <v>-153721.35650000005</v>
      </c>
      <c r="U30" s="67">
        <f t="shared" si="9"/>
        <v>-154967.23600000006</v>
      </c>
      <c r="V30" s="67">
        <f t="shared" si="9"/>
        <v>-162159.08050000007</v>
      </c>
      <c r="W30" s="67">
        <f>SUM(W28+V30)</f>
        <v>-162659.70500000007</v>
      </c>
      <c r="X30" s="51"/>
      <c r="Y30" s="45"/>
    </row>
    <row r="31" spans="1:25" ht="9.75" customHeight="1" hidden="1" thickBot="1">
      <c r="A31" s="36" t="s">
        <v>41</v>
      </c>
      <c r="B31" s="39" t="s">
        <v>6</v>
      </c>
      <c r="C31" s="40"/>
      <c r="D31" s="40"/>
      <c r="E31" s="59"/>
      <c r="F31" s="59"/>
      <c r="G31" s="59"/>
      <c r="H31" s="59"/>
      <c r="I31" s="59"/>
      <c r="J31" s="59"/>
      <c r="K31" s="59"/>
      <c r="L31" s="1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20"/>
      <c r="X31" s="50"/>
      <c r="Y31" s="46"/>
    </row>
    <row r="32" spans="1:25" ht="15" customHeight="1" hidden="1" thickBot="1">
      <c r="A32" s="37" t="s">
        <v>42</v>
      </c>
      <c r="B32" s="33" t="s">
        <v>23</v>
      </c>
      <c r="C32" s="40"/>
      <c r="D32" s="40"/>
      <c r="E32" s="59"/>
      <c r="F32" s="59"/>
      <c r="G32" s="59"/>
      <c r="H32" s="59"/>
      <c r="I32" s="59"/>
      <c r="J32" s="59"/>
      <c r="K32" s="59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20"/>
      <c r="X32" s="51"/>
      <c r="Y32" s="47"/>
    </row>
    <row r="33" spans="1:25" ht="24" customHeight="1" hidden="1" thickBot="1">
      <c r="A33" s="37" t="s">
        <v>44</v>
      </c>
      <c r="B33" s="34" t="s">
        <v>45</v>
      </c>
      <c r="C33" s="41"/>
      <c r="D33" s="41"/>
      <c r="E33" s="60"/>
      <c r="F33" s="60"/>
      <c r="G33" s="60"/>
      <c r="H33" s="60"/>
      <c r="I33" s="60"/>
      <c r="J33" s="60"/>
      <c r="K33" s="60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5">
        <f>SUM(W29-W31)</f>
        <v>-9394.267</v>
      </c>
      <c r="X33" s="52"/>
      <c r="Y33" s="48"/>
    </row>
    <row r="34" spans="1:25" ht="22.5" customHeight="1" hidden="1" thickBot="1">
      <c r="A34" s="54" t="s">
        <v>49</v>
      </c>
      <c r="B34" s="34" t="s">
        <v>24</v>
      </c>
      <c r="C34" s="41"/>
      <c r="D34" s="41"/>
      <c r="E34" s="60"/>
      <c r="F34" s="60"/>
      <c r="G34" s="60"/>
      <c r="H34" s="60"/>
      <c r="I34" s="60"/>
      <c r="J34" s="60"/>
      <c r="K34" s="60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>
        <f>SUM(W30-W31)</f>
        <v>-162659.70500000007</v>
      </c>
      <c r="X34" s="52"/>
      <c r="Y34" s="48"/>
    </row>
    <row r="35" spans="3:25" ht="24" customHeight="1" hidden="1"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3"/>
    </row>
    <row r="36" ht="12" customHeight="1" hidden="1"/>
    <row r="37" ht="12.75" hidden="1"/>
    <row r="38" ht="12.75" hidden="1"/>
    <row r="39" ht="12.75" hidden="1"/>
    <row r="40" ht="12.75">
      <c r="B40" t="s">
        <v>62</v>
      </c>
    </row>
    <row r="44" ht="12.75" customHeight="1"/>
    <row r="45" ht="12.75" customHeight="1"/>
  </sheetData>
  <sheetProtection/>
  <mergeCells count="5">
    <mergeCell ref="B4:Y4"/>
    <mergeCell ref="B5:Y5"/>
    <mergeCell ref="B3:Y3"/>
    <mergeCell ref="B1:N1"/>
    <mergeCell ref="B2:X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2020-02-21T06:07:50Z</cp:lastPrinted>
  <dcterms:created xsi:type="dcterms:W3CDTF">2011-06-16T11:06:26Z</dcterms:created>
  <dcterms:modified xsi:type="dcterms:W3CDTF">2020-02-21T06:07:53Z</dcterms:modified>
  <cp:category/>
  <cp:version/>
  <cp:contentType/>
  <cp:contentStatus/>
</cp:coreProperties>
</file>