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<sst xmlns="http://schemas.openxmlformats.org/spreadsheetml/2006/main" count="74" uniqueCount="74">
  <si>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</si>
  <si>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</si>
  <si>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</si>
  <si>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</si>
  <si>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</si>
  <si>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</si>
  <si>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</si>
  <si>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</si>
  <si>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</si>
  <si>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</si>
  <si>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</si>
  <si>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</si>
  <si>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</si>
  <si>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</si>
  <si>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</si>
  <si>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</si>
  <si>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</si>
  <si>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</si>
  <si>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</si>
  <si>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</si>
  <si>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</si>
  <si>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</si>
  <si>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№</t>
  </si>
  <si>
    <t>1</t>
  </si>
  <si>
    <t>4</t>
  </si>
  <si>
    <t>4.1</t>
  </si>
  <si>
    <t>4.2</t>
  </si>
  <si>
    <t>4.3</t>
  </si>
  <si>
    <t>4.4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</si>
  <si>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</si>
  <si>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</si>
  <si>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</si>
  <si>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</si>
  <si>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</si>
  <si>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</si>
  <si>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</si>
  <si>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</si>
  <si>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</si>
  <si>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за 2009 г</t>
  </si>
  <si>
    <t>за 2010 г</t>
  </si>
  <si>
    <t>по жилому дому г. Унеча ул. Совхозная д.2</t>
  </si>
  <si>
    <t>Итого за 2011 г</t>
  </si>
  <si>
    <t>Результат за месяц</t>
  </si>
  <si>
    <t>Итого за 2012 г</t>
  </si>
  <si>
    <t xml:space="preserve">Материалы </t>
  </si>
  <si>
    <t>4.14</t>
  </si>
  <si>
    <t>4.15</t>
  </si>
  <si>
    <t>Итого за 2013 г</t>
  </si>
  <si>
    <t>рентабельность 5%</t>
  </si>
  <si>
    <t>Итого за 2014 г</t>
  </si>
  <si>
    <t>Итого за 2015 г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</si>
  <si>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</si>
  <si>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</si>
  <si>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</si>
  <si>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4.5</t>
  </si>
  <si>
    <t>Проверка вент.каналов</t>
  </si>
  <si>
    <t>Исполнитель  вед. экономист /Викторова Л.С./</t>
  </si>
  <si>
    <t>Итого за 2016 г</t>
  </si>
  <si>
    <t>Итого за 2017 г</t>
  </si>
  <si>
    <t>Начислено  СОИД</t>
  </si>
  <si>
    <t>Начислено  нежилые</t>
  </si>
  <si>
    <t>Электроэнергия СОИД</t>
  </si>
  <si>
    <t>Горячая вода СОИД</t>
  </si>
  <si>
    <t>Холодная вода СОИД</t>
  </si>
  <si>
    <t>Канализация СОИД</t>
  </si>
  <si>
    <t>Благоустр территории</t>
  </si>
  <si>
    <t>Дератизация</t>
  </si>
  <si>
    <t>Транспортные(ГСМ,зап.части,амортизация,страхован)</t>
  </si>
  <si>
    <t>Итого за 2018 г</t>
  </si>
  <si>
    <t>Итого за 2019 г</t>
  </si>
  <si>
    <t>Всего за 2009-2019</t>
  </si>
  <si>
    <t>Вывоз ТБО (Утилизация)</t>
  </si>
  <si>
    <t>Дом по ул.Совхозная д.2 вступил в ООО "Наш дом" с октября 2009 года                 тариф 9,2 руб с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</si>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</sst>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0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wrapText="1"/>
    </xf>
    <xf numFmtId="0" fontId="21" fillId="0" borderId="25" xfId="0" applyFont="1" applyBorder="1" applyAlignment="1">
      <alignment horizontal="left" wrapText="1"/>
    </xf>
    <xf numFmtId="49" fontId="21" fillId="0" borderId="24" xfId="0" applyNumberFormat="1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23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wrapText="1"/>
    </xf>
    <xf numFmtId="0" fontId="23" fillId="0" borderId="29" xfId="0" applyFont="1" applyBorder="1" applyAlignment="1">
      <alignment horizontal="left" vertical="center" wrapText="1"/>
    </xf>
    <xf numFmtId="0" fontId="21" fillId="0" borderId="29" xfId="0" applyFont="1" applyBorder="1" applyAlignment="1">
      <alignment wrapText="1"/>
    </xf>
    <xf numFmtId="2" fontId="21" fillId="0" borderId="30" xfId="0" applyNumberFormat="1" applyFont="1" applyBorder="1" applyAlignment="1">
      <alignment horizontal="right" wrapText="1"/>
    </xf>
    <xf numFmtId="2" fontId="21" fillId="0" borderId="31" xfId="0" applyNumberFormat="1" applyFont="1" applyBorder="1" applyAlignment="1">
      <alignment horizontal="right" wrapText="1"/>
    </xf>
    <xf numFmtId="2" fontId="21" fillId="0" borderId="32" xfId="0" applyNumberFormat="1" applyFont="1" applyBorder="1" applyAlignment="1">
      <alignment horizontal="right" wrapText="1"/>
    </xf>
    <xf numFmtId="2" fontId="21" fillId="0" borderId="28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1" fillId="0" borderId="23" xfId="0" applyFont="1" applyBorder="1" applyAlignment="1">
      <alignment wrapText="1"/>
    </xf>
    <xf numFmtId="0" fontId="23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21" fillId="0" borderId="29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35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26" fillId="0" borderId="30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26" fillId="0" borderId="31" xfId="0" applyFont="1" applyBorder="1" applyAlignment="1">
      <alignment wrapText="1"/>
    </xf>
    <xf numFmtId="0" fontId="19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21" xfId="0" applyNumberFormat="1" applyFont="1" applyBorder="1" applyAlignment="1">
      <alignment horizontal="right" wrapText="1"/>
    </xf>
    <xf numFmtId="2" fontId="21" fillId="0" borderId="29" xfId="0" applyNumberFormat="1" applyFont="1" applyBorder="1" applyAlignment="1">
      <alignment horizontal="right"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23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7" fillId="0" borderId="27" xfId="0" applyFont="1" applyBorder="1" applyAlignment="1">
      <alignment/>
    </xf>
    <xf numFmtId="2" fontId="27" fillId="0" borderId="23" xfId="0" applyNumberFormat="1" applyFont="1" applyBorder="1" applyAlignment="1">
      <alignment/>
    </xf>
    <xf numFmtId="2" fontId="27" fillId="0" borderId="43" xfId="0" applyNumberFormat="1" applyFont="1" applyBorder="1" applyAlignment="1">
      <alignment/>
    </xf>
    <xf numFmtId="2" fontId="21" fillId="0" borderId="21" xfId="0" applyNumberFormat="1" applyFont="1" applyBorder="1" applyAlignment="1">
      <alignment/>
    </xf>
    <xf numFmtId="2" fontId="21" fillId="0" borderId="44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/>
    </xf>
    <xf numFmtId="49" fontId="22" fillId="0" borderId="28" xfId="0" applyNumberFormat="1" applyFont="1" applyBorder="1" applyAlignment="1">
      <alignment horizontal="center"/>
    </xf>
    <xf numFmtId="0" fontId="19" fillId="0" borderId="23" xfId="0" applyFont="1" applyBorder="1" applyAlignment="1">
      <alignment wrapText="1"/>
    </xf>
    <xf numFmtId="0" fontId="28" fillId="0" borderId="21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37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23" xfId="0" applyNumberFormat="1" applyFont="1" applyBorder="1" applyAlignment="1">
      <alignment/>
    </xf>
    <xf numFmtId="0" fontId="22" fillId="0" borderId="0" xfId="0" applyFont="1" applyAlignment="1">
      <alignment/>
    </xf>
    <xf numFmtId="2" fontId="28" fillId="0" borderId="29" xfId="0" applyNumberFormat="1" applyFont="1" applyBorder="1" applyAlignment="1">
      <alignment/>
    </xf>
    <xf numFmtId="2" fontId="21" fillId="0" borderId="45" xfId="0" applyNumberFormat="1" applyFont="1" applyBorder="1" applyAlignment="1">
      <alignment horizontal="right" wrapText="1"/>
    </xf>
    <xf numFmtId="0" fontId="28" fillId="0" borderId="29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2" fontId="28" fillId="0" borderId="21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PageLayoutView="0" workbookViewId="0" topLeftCell="B13">
      <selection activeCell="B37" sqref="B37"/>
    </sheetView>
  </sheetViews>
  <sheetFormatPr defaultColWidth="9.00390625" defaultRowHeight="12.75"/>
  <cols>
    <col min="1" max="1" width="3.25390625" style="20" hidden="1" customWidth="1"/>
    <col min="2" max="2" width="21.75390625" style="0" customWidth="1"/>
    <col min="3" max="3" width="7.25390625" style="0" hidden="1" customWidth="1"/>
    <col min="4" max="4" width="8.00390625" style="0" hidden="1" customWidth="1"/>
    <col min="5" max="5" width="8.25390625" style="0" hidden="1" customWidth="1"/>
    <col min="6" max="7" width="9.375" style="0" hidden="1" customWidth="1"/>
    <col min="8" max="8" width="9.875" style="0" hidden="1" customWidth="1"/>
    <col min="9" max="9" width="10.00390625" style="0" hidden="1" customWidth="1"/>
    <col min="10" max="10" width="9.625" style="0" hidden="1" customWidth="1"/>
    <col min="11" max="11" width="11.00390625" style="0" hidden="1" customWidth="1"/>
    <col min="12" max="12" width="9.875" style="0" hidden="1" customWidth="1"/>
    <col min="13" max="13" width="8.875" style="0" customWidth="1"/>
    <col min="14" max="14" width="8.75390625" style="0" customWidth="1"/>
    <col min="15" max="15" width="8.125" style="0" customWidth="1"/>
    <col min="16" max="16" width="8.375" style="0" customWidth="1"/>
    <col min="17" max="17" width="8.875" style="0" customWidth="1"/>
    <col min="18" max="19" width="8.125" style="0" customWidth="1"/>
    <col min="20" max="20" width="8.75390625" style="0" customWidth="1"/>
    <col min="21" max="21" width="8.375" style="0" customWidth="1"/>
    <col min="22" max="22" width="9.00390625" style="0" customWidth="1"/>
    <col min="23" max="23" width="8.375" style="0" customWidth="1"/>
    <col min="24" max="24" width="9.375" style="0" customWidth="1"/>
    <col min="25" max="25" width="8.75390625" style="0" customWidth="1"/>
    <col min="26" max="26" width="10.25390625" style="0" customWidth="1"/>
  </cols>
  <sheetData>
    <row r="1" spans="2:31" ht="12.75" customHeight="1">
      <c r="B1" s="88" t="s">
        <v>73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88" t="s">
        <v>72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9"/>
      <c r="X2" s="89"/>
      <c r="Y2" s="89"/>
      <c r="Z2" s="4"/>
      <c r="AA2" s="4"/>
      <c r="AB2" s="4"/>
      <c r="AC2" s="4"/>
      <c r="AD2" s="4"/>
      <c r="AE2" s="4"/>
    </row>
    <row r="3" spans="2:31" ht="12.75" customHeight="1"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3"/>
      <c r="AB3" s="3"/>
      <c r="AC3" s="3"/>
      <c r="AD3" s="3"/>
      <c r="AE3" s="3"/>
    </row>
    <row r="4" spans="2:31" ht="15" customHeight="1">
      <c r="B4" s="86" t="s">
        <v>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2"/>
      <c r="AB4" s="2"/>
      <c r="AC4" s="2"/>
      <c r="AD4" s="2"/>
      <c r="AE4" s="2"/>
    </row>
    <row r="5" spans="2:31" ht="13.5" customHeight="1">
      <c r="B5" s="86" t="s">
        <v>40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2"/>
      <c r="AB5" s="2"/>
      <c r="AC5" s="2"/>
      <c r="AD5" s="2"/>
      <c r="AE5" s="2"/>
    </row>
    <row r="6" spans="2:31" ht="0.7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30.75" customHeight="1" thickBot="1">
      <c r="A7" s="27" t="s">
        <v>22</v>
      </c>
      <c r="B7" s="21" t="s">
        <v>5</v>
      </c>
      <c r="C7" s="29" t="s">
        <v>38</v>
      </c>
      <c r="D7" s="31" t="s">
        <v>39</v>
      </c>
      <c r="E7" s="51" t="s">
        <v>41</v>
      </c>
      <c r="F7" s="42" t="s">
        <v>43</v>
      </c>
      <c r="G7" s="42" t="s">
        <v>47</v>
      </c>
      <c r="H7" s="51" t="s">
        <v>49</v>
      </c>
      <c r="I7" s="42" t="s">
        <v>50</v>
      </c>
      <c r="J7" s="42" t="s">
        <v>57</v>
      </c>
      <c r="K7" s="42" t="s">
        <v>58</v>
      </c>
      <c r="L7" s="42" t="s">
        <v>68</v>
      </c>
      <c r="M7" s="6" t="s">
        <v>8</v>
      </c>
      <c r="N7" s="5" t="s">
        <v>9</v>
      </c>
      <c r="O7" s="5" t="s">
        <v>10</v>
      </c>
      <c r="P7" s="5" t="s">
        <v>11</v>
      </c>
      <c r="Q7" s="5" t="s">
        <v>12</v>
      </c>
      <c r="R7" s="5" t="s">
        <v>13</v>
      </c>
      <c r="S7" s="5" t="s">
        <v>14</v>
      </c>
      <c r="T7" s="5" t="s">
        <v>15</v>
      </c>
      <c r="U7" s="5" t="s">
        <v>16</v>
      </c>
      <c r="V7" s="5" t="s">
        <v>17</v>
      </c>
      <c r="W7" s="5" t="s">
        <v>19</v>
      </c>
      <c r="X7" s="13" t="s">
        <v>18</v>
      </c>
      <c r="Y7" s="42" t="s">
        <v>69</v>
      </c>
      <c r="Z7" s="40" t="s">
        <v>70</v>
      </c>
      <c r="AA7" s="1"/>
      <c r="AB7" s="1"/>
      <c r="AC7" s="1"/>
      <c r="AD7" s="1"/>
      <c r="AE7" s="1"/>
    </row>
    <row r="8" spans="1:26" ht="13.5" thickBot="1">
      <c r="A8" s="28" t="s">
        <v>23</v>
      </c>
      <c r="B8" s="22" t="s">
        <v>1</v>
      </c>
      <c r="C8" s="48">
        <v>103799.92</v>
      </c>
      <c r="D8" s="49">
        <v>415431.52</v>
      </c>
      <c r="E8" s="52">
        <v>451227.07</v>
      </c>
      <c r="F8" s="50">
        <v>439602.68</v>
      </c>
      <c r="G8" s="49">
        <v>439932.96</v>
      </c>
      <c r="H8" s="52">
        <v>439834.52</v>
      </c>
      <c r="I8" s="49">
        <v>439784.84</v>
      </c>
      <c r="J8" s="49">
        <v>439958.72</v>
      </c>
      <c r="K8" s="49">
        <v>415864.84</v>
      </c>
      <c r="L8" s="49">
        <v>415920.96</v>
      </c>
      <c r="M8" s="7">
        <v>32409.96</v>
      </c>
      <c r="N8" s="7">
        <v>32409.96</v>
      </c>
      <c r="O8" s="7">
        <v>32409.96</v>
      </c>
      <c r="P8" s="7">
        <v>32409.96</v>
      </c>
      <c r="Q8" s="7">
        <v>32409.96</v>
      </c>
      <c r="R8" s="7">
        <v>32409.96</v>
      </c>
      <c r="S8" s="7">
        <v>32395.34</v>
      </c>
      <c r="T8" s="7">
        <v>32395.34</v>
      </c>
      <c r="U8" s="7">
        <v>32395.34</v>
      </c>
      <c r="V8" s="7">
        <v>32395.34</v>
      </c>
      <c r="W8" s="7">
        <v>32395.34</v>
      </c>
      <c r="X8" s="7">
        <v>32395.34</v>
      </c>
      <c r="Y8" s="44">
        <f>SUM(M8:X8)</f>
        <v>388831.80000000005</v>
      </c>
      <c r="Z8" s="64">
        <f>SUM(C8:X8)</f>
        <v>4390189.829999998</v>
      </c>
    </row>
    <row r="9" spans="1:26" ht="13.5" thickBot="1">
      <c r="A9" s="28"/>
      <c r="B9" s="22" t="s">
        <v>59</v>
      </c>
      <c r="C9" s="48"/>
      <c r="D9" s="50"/>
      <c r="E9" s="52"/>
      <c r="F9" s="50"/>
      <c r="G9" s="50"/>
      <c r="H9" s="52"/>
      <c r="I9" s="50"/>
      <c r="J9" s="50"/>
      <c r="K9" s="50">
        <v>40668.56</v>
      </c>
      <c r="L9" s="50">
        <v>26520.11</v>
      </c>
      <c r="M9" s="7">
        <f aca="true" t="shared" si="0" ref="M9:R9">141.57+206.39+658.05</f>
        <v>1006.01</v>
      </c>
      <c r="N9" s="7">
        <f t="shared" si="0"/>
        <v>1006.01</v>
      </c>
      <c r="O9" s="7">
        <f t="shared" si="0"/>
        <v>1006.01</v>
      </c>
      <c r="P9" s="7">
        <f t="shared" si="0"/>
        <v>1006.01</v>
      </c>
      <c r="Q9" s="7">
        <f t="shared" si="0"/>
        <v>1006.01</v>
      </c>
      <c r="R9" s="7">
        <f t="shared" si="0"/>
        <v>1006.01</v>
      </c>
      <c r="S9" s="8">
        <f aca="true" t="shared" si="1" ref="S9:X9">144.18+229.76+670</f>
        <v>1043.94</v>
      </c>
      <c r="T9" s="8">
        <f t="shared" si="1"/>
        <v>1043.94</v>
      </c>
      <c r="U9" s="8">
        <f t="shared" si="1"/>
        <v>1043.94</v>
      </c>
      <c r="V9" s="8">
        <f t="shared" si="1"/>
        <v>1043.94</v>
      </c>
      <c r="W9" s="8">
        <f t="shared" si="1"/>
        <v>1043.94</v>
      </c>
      <c r="X9" s="8">
        <f t="shared" si="1"/>
        <v>1043.94</v>
      </c>
      <c r="Y9" s="44">
        <f>SUM(M9:X9)</f>
        <v>12299.700000000003</v>
      </c>
      <c r="Z9" s="64">
        <f>SUM(C9:X9)</f>
        <v>79488.36999999998</v>
      </c>
    </row>
    <row r="10" spans="1:26" ht="13.5" thickBot="1">
      <c r="A10" s="28"/>
      <c r="B10" s="22" t="s">
        <v>60</v>
      </c>
      <c r="C10" s="48"/>
      <c r="D10" s="50"/>
      <c r="E10" s="52"/>
      <c r="F10" s="50"/>
      <c r="G10" s="50"/>
      <c r="H10" s="52"/>
      <c r="I10" s="50"/>
      <c r="J10" s="50"/>
      <c r="K10" s="50">
        <v>26013.45</v>
      </c>
      <c r="L10" s="50">
        <v>26152.14</v>
      </c>
      <c r="M10" s="7">
        <v>2058.56</v>
      </c>
      <c r="N10" s="7">
        <v>2058.56</v>
      </c>
      <c r="O10" s="7">
        <v>2058.56</v>
      </c>
      <c r="P10" s="7">
        <v>2058.56</v>
      </c>
      <c r="Q10" s="7">
        <v>2058.56</v>
      </c>
      <c r="R10" s="7">
        <v>2058.56</v>
      </c>
      <c r="S10" s="8">
        <v>2066.44</v>
      </c>
      <c r="T10" s="8">
        <v>2066.44</v>
      </c>
      <c r="U10" s="8">
        <v>2066.44</v>
      </c>
      <c r="V10" s="8">
        <v>2066.44</v>
      </c>
      <c r="W10" s="8">
        <v>2066.44</v>
      </c>
      <c r="X10" s="8">
        <v>2066.36</v>
      </c>
      <c r="Y10" s="44">
        <f>SUM(M10:X10)</f>
        <v>24749.919999999995</v>
      </c>
      <c r="Z10" s="64">
        <f>SUM(C10:X10)</f>
        <v>76915.51</v>
      </c>
    </row>
    <row r="11" spans="1:26" s="77" customFormat="1" ht="13.5" thickBot="1">
      <c r="A11" s="70" t="s">
        <v>24</v>
      </c>
      <c r="B11" s="71" t="s">
        <v>2</v>
      </c>
      <c r="C11" s="72">
        <f aca="true" t="shared" si="2" ref="C11:M11">SUM(C12:C27)</f>
        <v>65776.38</v>
      </c>
      <c r="D11" s="73">
        <f t="shared" si="2"/>
        <v>347581.91</v>
      </c>
      <c r="E11" s="72">
        <f t="shared" si="2"/>
        <v>388726.48999999993</v>
      </c>
      <c r="F11" s="73">
        <f t="shared" si="2"/>
        <v>363978.99</v>
      </c>
      <c r="G11" s="73">
        <f t="shared" si="2"/>
        <v>416938.46</v>
      </c>
      <c r="H11" s="74">
        <f>SUM(H12:H27)</f>
        <v>425923.86000000004</v>
      </c>
      <c r="I11" s="73">
        <f>SUM(I12:I27)</f>
        <v>443411.77999999997</v>
      </c>
      <c r="J11" s="73">
        <f>SUM(J12:J27)</f>
        <v>450242.20999999996</v>
      </c>
      <c r="K11" s="73">
        <f>SUM(K12:K27)</f>
        <v>474238.79000000004</v>
      </c>
      <c r="L11" s="73">
        <f t="shared" si="2"/>
        <v>506873.93000000005</v>
      </c>
      <c r="M11" s="75">
        <f t="shared" si="2"/>
        <v>31239.92</v>
      </c>
      <c r="N11" s="75">
        <f aca="true" t="shared" si="3" ref="N11:X11">SUM(N12:N27)</f>
        <v>32262.83</v>
      </c>
      <c r="O11" s="75">
        <f t="shared" si="3"/>
        <v>26858.8</v>
      </c>
      <c r="P11" s="75">
        <f t="shared" si="3"/>
        <v>32488.88</v>
      </c>
      <c r="Q11" s="75">
        <f t="shared" si="3"/>
        <v>34279.8</v>
      </c>
      <c r="R11" s="75">
        <f t="shared" si="3"/>
        <v>28273.73</v>
      </c>
      <c r="S11" s="75">
        <f t="shared" si="3"/>
        <v>28014.22</v>
      </c>
      <c r="T11" s="75">
        <f t="shared" si="3"/>
        <v>27270.48</v>
      </c>
      <c r="U11" s="75">
        <f t="shared" si="3"/>
        <v>34219.619999999995</v>
      </c>
      <c r="V11" s="75">
        <f t="shared" si="3"/>
        <v>40039.77</v>
      </c>
      <c r="W11" s="75">
        <f t="shared" si="3"/>
        <v>28027.88</v>
      </c>
      <c r="X11" s="72">
        <f t="shared" si="3"/>
        <v>28796.98</v>
      </c>
      <c r="Y11" s="73">
        <f>SUM(M11:X11)</f>
        <v>371772.91000000003</v>
      </c>
      <c r="Z11" s="76">
        <f>SUM(C11:X11)</f>
        <v>4255465.71</v>
      </c>
    </row>
    <row r="12" spans="1:26" ht="13.5" thickBot="1">
      <c r="A12" s="28" t="s">
        <v>25</v>
      </c>
      <c r="B12" s="24" t="s">
        <v>71</v>
      </c>
      <c r="C12" s="33">
        <v>17161.23</v>
      </c>
      <c r="D12" s="34">
        <v>63996.01</v>
      </c>
      <c r="E12" s="53">
        <v>76135.66</v>
      </c>
      <c r="F12" s="34">
        <v>78868.96</v>
      </c>
      <c r="G12" s="34">
        <v>87680.5</v>
      </c>
      <c r="H12" s="53">
        <v>98562.81</v>
      </c>
      <c r="I12" s="34">
        <v>91465.04</v>
      </c>
      <c r="J12" s="34">
        <v>89339.06</v>
      </c>
      <c r="K12" s="34">
        <v>93512.46</v>
      </c>
      <c r="L12" s="34">
        <v>96016.89</v>
      </c>
      <c r="M12" s="7"/>
      <c r="N12" s="8"/>
      <c r="O12" s="8"/>
      <c r="P12" s="8">
        <v>191.18</v>
      </c>
      <c r="Q12" s="8">
        <v>146.08</v>
      </c>
      <c r="R12" s="8">
        <v>60.05</v>
      </c>
      <c r="S12" s="8">
        <v>154.1</v>
      </c>
      <c r="T12" s="8">
        <v>113.83</v>
      </c>
      <c r="U12" s="8">
        <v>28.33</v>
      </c>
      <c r="V12" s="8">
        <v>101.3</v>
      </c>
      <c r="W12" s="8">
        <v>83.2</v>
      </c>
      <c r="X12" s="14">
        <v>56.36</v>
      </c>
      <c r="Y12" s="43">
        <f aca="true" t="shared" si="4" ref="Y12:Y29">SUM(M12:X12)</f>
        <v>934.4300000000001</v>
      </c>
      <c r="Z12" s="65">
        <f>SUM(C12:X12)</f>
        <v>793673.0499999999</v>
      </c>
    </row>
    <row r="13" spans="1:26" ht="13.5" customHeight="1" thickBot="1">
      <c r="A13" s="28" t="s">
        <v>26</v>
      </c>
      <c r="B13" s="25" t="s">
        <v>51</v>
      </c>
      <c r="C13" s="35">
        <v>31074.82</v>
      </c>
      <c r="D13" s="36">
        <v>101781.71</v>
      </c>
      <c r="E13" s="54">
        <v>37115.43</v>
      </c>
      <c r="F13" s="36">
        <f>4590.68+1300</f>
        <v>5890.68</v>
      </c>
      <c r="G13" s="36">
        <f>5173.89+9200</f>
        <v>14373.89</v>
      </c>
      <c r="H13" s="54">
        <v>10597.82</v>
      </c>
      <c r="I13" s="36">
        <v>8086.58</v>
      </c>
      <c r="J13" s="36">
        <v>11735.38</v>
      </c>
      <c r="K13" s="36">
        <v>13978.47</v>
      </c>
      <c r="L13" s="36">
        <v>20668.2</v>
      </c>
      <c r="M13" s="9">
        <v>800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5"/>
      <c r="Y13" s="43">
        <f t="shared" si="4"/>
        <v>800</v>
      </c>
      <c r="Z13" s="65">
        <f aca="true" t="shared" si="5" ref="Z13:Z27">SUM(C13:X13)</f>
        <v>256102.97999999998</v>
      </c>
    </row>
    <row r="14" spans="1:26" ht="12.75" customHeight="1" thickBot="1">
      <c r="A14" s="28" t="s">
        <v>27</v>
      </c>
      <c r="B14" s="23" t="s">
        <v>4</v>
      </c>
      <c r="C14" s="35">
        <v>0</v>
      </c>
      <c r="D14" s="36">
        <v>0</v>
      </c>
      <c r="E14" s="54">
        <v>12862.47</v>
      </c>
      <c r="F14" s="36">
        <v>0</v>
      </c>
      <c r="G14" s="36">
        <v>0</v>
      </c>
      <c r="H14" s="54">
        <v>8516.3</v>
      </c>
      <c r="I14" s="36">
        <v>0</v>
      </c>
      <c r="J14" s="36">
        <v>0</v>
      </c>
      <c r="K14" s="36">
        <v>9414.7</v>
      </c>
      <c r="L14" s="36">
        <v>10709.41</v>
      </c>
      <c r="M14" s="9"/>
      <c r="N14" s="10"/>
      <c r="O14" s="10"/>
      <c r="P14" s="10"/>
      <c r="Q14" s="10"/>
      <c r="R14" s="10"/>
      <c r="S14" s="10"/>
      <c r="T14" s="10"/>
      <c r="U14" s="10"/>
      <c r="V14" s="10">
        <v>9329.1</v>
      </c>
      <c r="W14" s="10"/>
      <c r="X14" s="15"/>
      <c r="Y14" s="43">
        <f t="shared" si="4"/>
        <v>9329.1</v>
      </c>
      <c r="Z14" s="65">
        <f t="shared" si="5"/>
        <v>50831.979999999996</v>
      </c>
    </row>
    <row r="15" spans="1:26" ht="13.5" customHeight="1" thickBot="1">
      <c r="A15" s="28" t="s">
        <v>28</v>
      </c>
      <c r="B15" s="25" t="s">
        <v>44</v>
      </c>
      <c r="C15" s="35">
        <v>6617.15</v>
      </c>
      <c r="D15" s="36">
        <v>42837.62</v>
      </c>
      <c r="E15" s="54">
        <v>19535.36</v>
      </c>
      <c r="F15" s="36">
        <v>16329.81</v>
      </c>
      <c r="G15" s="36">
        <v>43727.96</v>
      </c>
      <c r="H15" s="54">
        <v>28372.99</v>
      </c>
      <c r="I15" s="36">
        <v>32430.35</v>
      </c>
      <c r="J15" s="36">
        <v>47615.02</v>
      </c>
      <c r="K15" s="36">
        <v>18773.86</v>
      </c>
      <c r="L15" s="36">
        <v>35806.32</v>
      </c>
      <c r="M15" s="9">
        <v>1265</v>
      </c>
      <c r="N15" s="10">
        <f>3550.34+700</f>
        <v>4250.34</v>
      </c>
      <c r="O15" s="10">
        <v>95</v>
      </c>
      <c r="P15" s="10">
        <v>134.8</v>
      </c>
      <c r="Q15" s="10">
        <f>3407.44+890</f>
        <v>4297.4400000000005</v>
      </c>
      <c r="R15" s="10">
        <f>761.3+350</f>
        <v>1111.3</v>
      </c>
      <c r="S15" s="10">
        <v>379.2</v>
      </c>
      <c r="T15" s="10">
        <f>60+385</f>
        <v>445</v>
      </c>
      <c r="U15" s="10">
        <f>5437+900</f>
        <v>6337</v>
      </c>
      <c r="V15" s="10">
        <v>274.7</v>
      </c>
      <c r="W15" s="10"/>
      <c r="X15" s="15"/>
      <c r="Y15" s="43">
        <f t="shared" si="4"/>
        <v>18589.780000000002</v>
      </c>
      <c r="Z15" s="65">
        <f t="shared" si="5"/>
        <v>310636.22000000003</v>
      </c>
    </row>
    <row r="16" spans="1:26" ht="14.25" customHeight="1" thickBot="1">
      <c r="A16" s="28" t="s">
        <v>54</v>
      </c>
      <c r="B16" s="25" t="s">
        <v>55</v>
      </c>
      <c r="C16" s="35"/>
      <c r="D16" s="36"/>
      <c r="E16" s="54"/>
      <c r="F16" s="36"/>
      <c r="G16" s="36"/>
      <c r="H16" s="54"/>
      <c r="I16" s="36">
        <v>4200</v>
      </c>
      <c r="J16" s="36">
        <v>4000</v>
      </c>
      <c r="K16" s="36">
        <v>3400</v>
      </c>
      <c r="L16" s="36">
        <v>3700</v>
      </c>
      <c r="M16" s="9"/>
      <c r="N16" s="10"/>
      <c r="O16" s="10"/>
      <c r="P16" s="10">
        <v>3700</v>
      </c>
      <c r="Q16" s="10"/>
      <c r="R16" s="10"/>
      <c r="S16" s="10"/>
      <c r="T16" s="10"/>
      <c r="U16" s="10"/>
      <c r="V16" s="10"/>
      <c r="W16" s="10"/>
      <c r="X16" s="15"/>
      <c r="Y16" s="43">
        <f>SUM(M16:X16)</f>
        <v>3700</v>
      </c>
      <c r="Z16" s="65">
        <f>SUM(C16:X16)</f>
        <v>19000</v>
      </c>
    </row>
    <row r="17" spans="1:26" ht="13.5" customHeight="1" thickBot="1">
      <c r="A17" s="28" t="s">
        <v>29</v>
      </c>
      <c r="B17" s="25" t="s">
        <v>65</v>
      </c>
      <c r="C17" s="35">
        <v>0</v>
      </c>
      <c r="D17" s="36">
        <v>0</v>
      </c>
      <c r="E17" s="54">
        <v>1100</v>
      </c>
      <c r="F17" s="36">
        <v>256</v>
      </c>
      <c r="G17" s="36">
        <v>0</v>
      </c>
      <c r="H17" s="54">
        <v>10074.65</v>
      </c>
      <c r="I17" s="36">
        <v>4052.96</v>
      </c>
      <c r="J17" s="36">
        <v>708.85</v>
      </c>
      <c r="K17" s="36">
        <v>650.68</v>
      </c>
      <c r="L17" s="36">
        <v>92</v>
      </c>
      <c r="M17" s="9">
        <v>311</v>
      </c>
      <c r="N17" s="10">
        <v>153.02</v>
      </c>
      <c r="O17" s="10"/>
      <c r="P17" s="10"/>
      <c r="Q17" s="10"/>
      <c r="R17" s="10"/>
      <c r="S17" s="10"/>
      <c r="T17" s="10"/>
      <c r="U17" s="10"/>
      <c r="V17" s="10"/>
      <c r="W17" s="10"/>
      <c r="X17" s="15"/>
      <c r="Y17" s="43">
        <f t="shared" si="4"/>
        <v>464.02</v>
      </c>
      <c r="Z17" s="65">
        <f t="shared" si="5"/>
        <v>17399.16</v>
      </c>
    </row>
    <row r="18" spans="1:26" ht="13.5" customHeight="1" thickBot="1">
      <c r="A18" s="28" t="s">
        <v>30</v>
      </c>
      <c r="B18" s="25" t="s">
        <v>61</v>
      </c>
      <c r="C18" s="35">
        <v>5480.46</v>
      </c>
      <c r="D18" s="36">
        <v>18286.99</v>
      </c>
      <c r="E18" s="54">
        <v>15232.52</v>
      </c>
      <c r="F18" s="36">
        <v>6654.22</v>
      </c>
      <c r="G18" s="36">
        <v>0</v>
      </c>
      <c r="H18" s="54"/>
      <c r="I18" s="36">
        <v>0</v>
      </c>
      <c r="J18" s="36">
        <v>0</v>
      </c>
      <c r="K18" s="36">
        <v>28877.33</v>
      </c>
      <c r="L18" s="36">
        <v>14716.85</v>
      </c>
      <c r="M18" s="9"/>
      <c r="N18" s="9"/>
      <c r="O18" s="9"/>
      <c r="P18" s="9"/>
      <c r="Q18" s="9"/>
      <c r="R18" s="9"/>
      <c r="S18" s="10"/>
      <c r="T18" s="10"/>
      <c r="U18" s="10"/>
      <c r="V18" s="10"/>
      <c r="W18" s="10"/>
      <c r="X18" s="10"/>
      <c r="Y18" s="43">
        <f t="shared" si="4"/>
        <v>0</v>
      </c>
      <c r="Z18" s="65">
        <f t="shared" si="5"/>
        <v>89248.37000000001</v>
      </c>
    </row>
    <row r="19" spans="1:26" ht="13.5" customHeight="1" thickBot="1">
      <c r="A19" s="28"/>
      <c r="B19" s="25" t="s">
        <v>63</v>
      </c>
      <c r="C19" s="35"/>
      <c r="D19" s="36"/>
      <c r="E19" s="54"/>
      <c r="F19" s="36"/>
      <c r="G19" s="36"/>
      <c r="H19" s="54"/>
      <c r="I19" s="36"/>
      <c r="J19" s="36"/>
      <c r="K19" s="36">
        <v>1732.89</v>
      </c>
      <c r="L19" s="36">
        <v>1790.16</v>
      </c>
      <c r="M19" s="9">
        <v>149.64</v>
      </c>
      <c r="N19" s="9">
        <v>149.64</v>
      </c>
      <c r="O19" s="9">
        <v>149.64</v>
      </c>
      <c r="P19" s="9">
        <v>149.64</v>
      </c>
      <c r="Q19" s="9">
        <v>149.64</v>
      </c>
      <c r="R19" s="9">
        <v>149.64</v>
      </c>
      <c r="S19" s="9">
        <v>149.64</v>
      </c>
      <c r="T19" s="10">
        <v>155.12</v>
      </c>
      <c r="U19" s="10">
        <v>152.38</v>
      </c>
      <c r="V19" s="10">
        <v>152.38</v>
      </c>
      <c r="W19" s="10">
        <v>152.38</v>
      </c>
      <c r="X19" s="10">
        <v>152.38</v>
      </c>
      <c r="Y19" s="43">
        <f>SUM(M19:X19)</f>
        <v>1812.1200000000003</v>
      </c>
      <c r="Z19" s="65">
        <f>SUM(C19:X19)</f>
        <v>5335.170000000001</v>
      </c>
    </row>
    <row r="20" spans="1:26" ht="13.5" customHeight="1" thickBot="1">
      <c r="A20" s="28"/>
      <c r="B20" s="25" t="s">
        <v>62</v>
      </c>
      <c r="C20" s="35"/>
      <c r="D20" s="36"/>
      <c r="E20" s="54"/>
      <c r="F20" s="36"/>
      <c r="G20" s="36"/>
      <c r="H20" s="54"/>
      <c r="I20" s="36"/>
      <c r="J20" s="36"/>
      <c r="K20" s="36">
        <v>8853.55</v>
      </c>
      <c r="L20" s="36">
        <v>7672.54</v>
      </c>
      <c r="M20" s="9">
        <v>695.39</v>
      </c>
      <c r="N20" s="9">
        <v>695.39</v>
      </c>
      <c r="O20" s="9">
        <v>695.39</v>
      </c>
      <c r="P20" s="9">
        <v>695.39</v>
      </c>
      <c r="Q20" s="9">
        <v>695.39</v>
      </c>
      <c r="R20" s="9">
        <v>695.39</v>
      </c>
      <c r="S20" s="9">
        <v>307.3</v>
      </c>
      <c r="T20" s="10">
        <v>708.07</v>
      </c>
      <c r="U20" s="10">
        <v>708.07</v>
      </c>
      <c r="V20" s="10">
        <v>708.07</v>
      </c>
      <c r="W20" s="10">
        <v>708.07</v>
      </c>
      <c r="X20" s="10">
        <v>708.07</v>
      </c>
      <c r="Y20" s="43">
        <f>SUM(M20:X20)</f>
        <v>8019.989999999999</v>
      </c>
      <c r="Z20" s="65">
        <f>SUM(C20:X20)</f>
        <v>24546.079999999994</v>
      </c>
    </row>
    <row r="21" spans="1:26" ht="13.5" customHeight="1" thickBot="1">
      <c r="A21" s="28"/>
      <c r="B21" s="25" t="s">
        <v>64</v>
      </c>
      <c r="C21" s="35"/>
      <c r="D21" s="36"/>
      <c r="E21" s="54"/>
      <c r="F21" s="36"/>
      <c r="G21" s="36"/>
      <c r="H21" s="54"/>
      <c r="I21" s="36"/>
      <c r="J21" s="36"/>
      <c r="K21" s="36">
        <v>1509.14</v>
      </c>
      <c r="L21" s="36">
        <v>2607</v>
      </c>
      <c r="M21" s="9">
        <v>218.18</v>
      </c>
      <c r="N21" s="9">
        <v>218.18</v>
      </c>
      <c r="O21" s="9">
        <v>218.18</v>
      </c>
      <c r="P21" s="9">
        <v>218.18</v>
      </c>
      <c r="Q21" s="9">
        <v>218.18</v>
      </c>
      <c r="R21" s="9">
        <v>218.18</v>
      </c>
      <c r="S21" s="9">
        <v>218.18</v>
      </c>
      <c r="T21" s="10">
        <v>267.32</v>
      </c>
      <c r="U21" s="10">
        <v>242.75</v>
      </c>
      <c r="V21" s="10">
        <v>242.75</v>
      </c>
      <c r="W21" s="10">
        <v>242.75</v>
      </c>
      <c r="X21" s="10">
        <v>242.75</v>
      </c>
      <c r="Y21" s="43">
        <f>SUM(M21:X21)</f>
        <v>2765.58</v>
      </c>
      <c r="Z21" s="65">
        <f>SUM(C21:X21)</f>
        <v>6881.720000000002</v>
      </c>
    </row>
    <row r="22" spans="1:26" ht="15" customHeight="1" thickBot="1">
      <c r="A22" s="28" t="s">
        <v>31</v>
      </c>
      <c r="B22" s="25" t="s">
        <v>66</v>
      </c>
      <c r="C22" s="35">
        <v>490.82</v>
      </c>
      <c r="D22" s="36">
        <v>2967.96</v>
      </c>
      <c r="E22" s="54">
        <v>1085.29</v>
      </c>
      <c r="F22" s="36">
        <v>931.12</v>
      </c>
      <c r="G22" s="36">
        <v>4597.64</v>
      </c>
      <c r="H22" s="54">
        <v>4077.35</v>
      </c>
      <c r="I22" s="36">
        <v>3581.46</v>
      </c>
      <c r="J22" s="36">
        <v>770.95</v>
      </c>
      <c r="K22" s="36">
        <v>1180.98</v>
      </c>
      <c r="L22" s="36">
        <v>854.81</v>
      </c>
      <c r="M22" s="9"/>
      <c r="N22" s="10"/>
      <c r="O22" s="10">
        <v>277.1</v>
      </c>
      <c r="P22" s="10"/>
      <c r="Q22" s="10">
        <v>311.6</v>
      </c>
      <c r="R22" s="10"/>
      <c r="S22" s="10"/>
      <c r="T22" s="10"/>
      <c r="U22" s="10">
        <v>298.74</v>
      </c>
      <c r="V22" s="10"/>
      <c r="W22" s="10">
        <v>277.1</v>
      </c>
      <c r="X22" s="15"/>
      <c r="Y22" s="43">
        <f t="shared" si="4"/>
        <v>1164.54</v>
      </c>
      <c r="Z22" s="65">
        <f t="shared" si="5"/>
        <v>21702.92</v>
      </c>
    </row>
    <row r="23" spans="1:26" ht="29.25" customHeight="1" thickBot="1">
      <c r="A23" s="28" t="s">
        <v>32</v>
      </c>
      <c r="B23" s="25" t="s">
        <v>67</v>
      </c>
      <c r="C23" s="35">
        <v>0</v>
      </c>
      <c r="D23" s="36">
        <v>5124.84</v>
      </c>
      <c r="E23" s="54">
        <v>18299.25</v>
      </c>
      <c r="F23" s="36">
        <v>23871.31</v>
      </c>
      <c r="G23" s="36">
        <v>22489.82</v>
      </c>
      <c r="H23" s="54">
        <v>15361.92</v>
      </c>
      <c r="I23" s="36">
        <v>18116.58</v>
      </c>
      <c r="J23" s="36">
        <v>19165.86</v>
      </c>
      <c r="K23" s="36">
        <v>19449.68</v>
      </c>
      <c r="L23" s="36">
        <v>20441.73</v>
      </c>
      <c r="M23" s="9">
        <v>1647.09</v>
      </c>
      <c r="N23" s="10">
        <v>1726.54</v>
      </c>
      <c r="O23" s="10">
        <v>1370.89</v>
      </c>
      <c r="P23" s="10">
        <v>1641.84</v>
      </c>
      <c r="Q23" s="10">
        <v>1365.84</v>
      </c>
      <c r="R23" s="10">
        <v>1047.25</v>
      </c>
      <c r="S23" s="10">
        <v>1094.07</v>
      </c>
      <c r="T23" s="10">
        <v>927.3</v>
      </c>
      <c r="U23" s="10">
        <v>1042.67</v>
      </c>
      <c r="V23" s="10">
        <v>2159.18</v>
      </c>
      <c r="W23" s="10">
        <v>1365.3</v>
      </c>
      <c r="X23" s="15">
        <v>1161.59</v>
      </c>
      <c r="Y23" s="43">
        <f t="shared" si="4"/>
        <v>16549.559999999998</v>
      </c>
      <c r="Z23" s="65">
        <f>SUM(C23:X23)</f>
        <v>178870.55000000002</v>
      </c>
    </row>
    <row r="24" spans="1:26" ht="25.5" customHeight="1" thickBot="1">
      <c r="A24" s="28" t="s">
        <v>33</v>
      </c>
      <c r="B24" s="25" t="s">
        <v>52</v>
      </c>
      <c r="C24" s="35">
        <v>1940.09</v>
      </c>
      <c r="D24" s="36">
        <v>8921.91</v>
      </c>
      <c r="E24" s="54">
        <v>9957.61</v>
      </c>
      <c r="F24" s="36">
        <v>2987.49</v>
      </c>
      <c r="G24" s="36">
        <v>2125.36</v>
      </c>
      <c r="H24" s="54">
        <v>4621</v>
      </c>
      <c r="I24" s="36">
        <v>3122.21</v>
      </c>
      <c r="J24" s="36">
        <v>2726.51</v>
      </c>
      <c r="K24" s="36">
        <v>2127.51</v>
      </c>
      <c r="L24" s="36">
        <v>2062.06</v>
      </c>
      <c r="M24" s="9">
        <v>130.32</v>
      </c>
      <c r="N24" s="10">
        <v>112.36</v>
      </c>
      <c r="O24" s="10">
        <v>97.92</v>
      </c>
      <c r="P24" s="10">
        <v>113.93</v>
      </c>
      <c r="Q24" s="10">
        <v>12.03</v>
      </c>
      <c r="R24" s="10">
        <v>170.76</v>
      </c>
      <c r="S24" s="10">
        <v>191.42</v>
      </c>
      <c r="T24" s="10">
        <v>222.96</v>
      </c>
      <c r="U24" s="10">
        <v>331.37</v>
      </c>
      <c r="V24" s="10">
        <v>81.94</v>
      </c>
      <c r="W24" s="10">
        <v>302.42</v>
      </c>
      <c r="X24" s="15">
        <v>106.43</v>
      </c>
      <c r="Y24" s="43">
        <f t="shared" si="4"/>
        <v>1873.86</v>
      </c>
      <c r="Z24" s="65">
        <f t="shared" si="5"/>
        <v>42465.61</v>
      </c>
    </row>
    <row r="25" spans="1:26" ht="36" customHeight="1" thickBot="1">
      <c r="A25" s="28" t="s">
        <v>34</v>
      </c>
      <c r="B25" s="25" t="s">
        <v>53</v>
      </c>
      <c r="C25" s="35">
        <v>0</v>
      </c>
      <c r="D25" s="36">
        <v>5282.31</v>
      </c>
      <c r="E25" s="54">
        <v>16297.46</v>
      </c>
      <c r="F25" s="36">
        <v>15528.85</v>
      </c>
      <c r="G25" s="36">
        <v>20849.07</v>
      </c>
      <c r="H25" s="54">
        <v>17919.81</v>
      </c>
      <c r="I25" s="36">
        <v>23196.39</v>
      </c>
      <c r="J25" s="36">
        <v>19943.29</v>
      </c>
      <c r="K25" s="36">
        <v>20982.78</v>
      </c>
      <c r="L25" s="36">
        <v>23648.54</v>
      </c>
      <c r="M25" s="9">
        <f>81.35+788.16+970.8</f>
        <v>1840.31</v>
      </c>
      <c r="N25" s="10">
        <f>76.67+1098.13+941.1</f>
        <v>2115.9</v>
      </c>
      <c r="O25" s="10">
        <f>981.5+66.68+732.14</f>
        <v>1780.3200000000002</v>
      </c>
      <c r="P25" s="10">
        <f>71.31+809.47+2600.89</f>
        <v>3481.67</v>
      </c>
      <c r="Q25" s="10">
        <f>69.61+893.8+704.9</f>
        <v>1668.31</v>
      </c>
      <c r="R25" s="10">
        <f>80.9+622.08+1248.13</f>
        <v>1951.1100000000001</v>
      </c>
      <c r="S25" s="10">
        <f>77.75+1053.14+568.18</f>
        <v>1699.0700000000002</v>
      </c>
      <c r="T25" s="10">
        <f>71.23+647.37+905.75</f>
        <v>1624.35</v>
      </c>
      <c r="U25" s="10">
        <f>51.84+575.74+824.74</f>
        <v>1452.3200000000002</v>
      </c>
      <c r="V25" s="10">
        <f>52.54+922.29+2343.49</f>
        <v>3318.3199999999997</v>
      </c>
      <c r="W25" s="10">
        <f>58.08+579.94+603.58</f>
        <v>1241.6000000000001</v>
      </c>
      <c r="X25" s="15">
        <f>57.95+1753.92+1013.1</f>
        <v>2824.9700000000003</v>
      </c>
      <c r="Y25" s="43">
        <f t="shared" si="4"/>
        <v>24998.25</v>
      </c>
      <c r="Z25" s="65">
        <f t="shared" si="5"/>
        <v>188646.75000000003</v>
      </c>
    </row>
    <row r="26" spans="1:26" ht="15.75" customHeight="1" thickBot="1">
      <c r="A26" s="28" t="s">
        <v>45</v>
      </c>
      <c r="B26" s="25" t="s">
        <v>6</v>
      </c>
      <c r="C26" s="35">
        <v>1862.01</v>
      </c>
      <c r="D26" s="36">
        <v>82946.8</v>
      </c>
      <c r="E26" s="54">
        <v>154693.28</v>
      </c>
      <c r="F26" s="36">
        <v>195055.7</v>
      </c>
      <c r="G26" s="36">
        <v>205986.85</v>
      </c>
      <c r="H26" s="54">
        <v>211093.82</v>
      </c>
      <c r="I26" s="36">
        <v>239435.44</v>
      </c>
      <c r="J26" s="68">
        <v>233917.68</v>
      </c>
      <c r="K26" s="68">
        <v>232540.94</v>
      </c>
      <c r="L26" s="68">
        <v>249391.57</v>
      </c>
      <c r="M26" s="9">
        <f>31239.92-8397.97</f>
        <v>22841.949999999997</v>
      </c>
      <c r="N26" s="10">
        <f>32262.83-10537.72</f>
        <v>21725.11</v>
      </c>
      <c r="O26" s="10">
        <f>26858.8-5892.2</f>
        <v>20966.6</v>
      </c>
      <c r="P26" s="10">
        <f>32488.88-11424.85</f>
        <v>21064.03</v>
      </c>
      <c r="Q26" s="10">
        <f>34279.8-10174.78</f>
        <v>24105.020000000004</v>
      </c>
      <c r="R26" s="10">
        <f>28273.73-6656.29</f>
        <v>21617.44</v>
      </c>
      <c r="S26" s="10">
        <f>28014.22-5544.13</f>
        <v>22470.09</v>
      </c>
      <c r="T26" s="10">
        <f>27270.48-5660.89</f>
        <v>21609.59</v>
      </c>
      <c r="U26" s="10">
        <f>34219.62-11881.58</f>
        <v>22338.04</v>
      </c>
      <c r="V26" s="10">
        <f>40039.77-17702.98</f>
        <v>22336.789999999997</v>
      </c>
      <c r="W26" s="10">
        <f>28027.88-5619.62</f>
        <v>22408.260000000002</v>
      </c>
      <c r="X26" s="15">
        <f>28796.98-6586.89</f>
        <v>22210.09</v>
      </c>
      <c r="Y26" s="43">
        <f t="shared" si="4"/>
        <v>265693.01</v>
      </c>
      <c r="Z26" s="65">
        <f t="shared" si="5"/>
        <v>2072617.1000000003</v>
      </c>
    </row>
    <row r="27" spans="1:26" ht="13.5" customHeight="1" thickBot="1">
      <c r="A27" s="28" t="s">
        <v>46</v>
      </c>
      <c r="B27" s="26" t="s">
        <v>3</v>
      </c>
      <c r="C27" s="37">
        <v>1149.8</v>
      </c>
      <c r="D27" s="38">
        <v>15435.76</v>
      </c>
      <c r="E27" s="55">
        <v>26412.16</v>
      </c>
      <c r="F27" s="38">
        <v>17604.85</v>
      </c>
      <c r="G27" s="38">
        <v>15107.37</v>
      </c>
      <c r="H27" s="55">
        <v>16725.39</v>
      </c>
      <c r="I27" s="38">
        <v>15724.77</v>
      </c>
      <c r="J27" s="38">
        <v>20319.61</v>
      </c>
      <c r="K27" s="38">
        <v>17253.82</v>
      </c>
      <c r="L27" s="79">
        <v>16695.85</v>
      </c>
      <c r="M27" s="12">
        <f>37.44+1303.6</f>
        <v>1341.04</v>
      </c>
      <c r="N27" s="11">
        <f>33.43+1082.92</f>
        <v>1116.3500000000001</v>
      </c>
      <c r="O27" s="11">
        <f>36.36+1171.4</f>
        <v>1207.76</v>
      </c>
      <c r="P27" s="11">
        <f>18.26+1079.96</f>
        <v>1098.22</v>
      </c>
      <c r="Q27" s="11">
        <f>40.18+1270.09</f>
        <v>1310.27</v>
      </c>
      <c r="R27" s="11">
        <f>37.71+1214.9</f>
        <v>1252.6100000000001</v>
      </c>
      <c r="S27" s="11">
        <f>40.82+1310.33</f>
        <v>1351.1499999999999</v>
      </c>
      <c r="T27" s="11">
        <f>37.36+1159.58</f>
        <v>1196.9399999999998</v>
      </c>
      <c r="U27" s="11">
        <f>40.17+1247.78</f>
        <v>1287.95</v>
      </c>
      <c r="V27" s="11">
        <f>41.66+1293.58</f>
        <v>1335.24</v>
      </c>
      <c r="W27" s="11">
        <f>38.91+1207.89</f>
        <v>1246.8000000000002</v>
      </c>
      <c r="X27" s="17">
        <f>41.63+1292.71</f>
        <v>1334.3400000000001</v>
      </c>
      <c r="Y27" s="43">
        <f t="shared" si="4"/>
        <v>15078.670000000002</v>
      </c>
      <c r="Z27" s="65">
        <f t="shared" si="5"/>
        <v>177508.05</v>
      </c>
    </row>
    <row r="28" spans="1:26" ht="13.5" customHeight="1" thickBot="1">
      <c r="A28" s="28"/>
      <c r="B28" s="32" t="s">
        <v>48</v>
      </c>
      <c r="C28" s="57"/>
      <c r="D28" s="58"/>
      <c r="E28" s="59"/>
      <c r="F28" s="58"/>
      <c r="G28" s="58"/>
      <c r="H28" s="67">
        <f>H8*5%</f>
        <v>21991.726000000002</v>
      </c>
      <c r="I28" s="61">
        <f>I8*5%</f>
        <v>21989.242000000002</v>
      </c>
      <c r="J28" s="61">
        <f>J8*5%</f>
        <v>21997.936</v>
      </c>
      <c r="K28" s="61">
        <f>K8*5%</f>
        <v>20793.242000000002</v>
      </c>
      <c r="L28" s="61">
        <f>SUM(L8+L9+L10)*5%</f>
        <v>23429.6605</v>
      </c>
      <c r="M28" s="60">
        <f>SUM(M8+M9+M10)*5%</f>
        <v>1773.7265</v>
      </c>
      <c r="N28" s="60">
        <f aca="true" t="shared" si="6" ref="N28:X28">SUM(N8+N9+N10)*5%</f>
        <v>1773.7265</v>
      </c>
      <c r="O28" s="60">
        <f t="shared" si="6"/>
        <v>1773.7265</v>
      </c>
      <c r="P28" s="60">
        <f t="shared" si="6"/>
        <v>1773.7265</v>
      </c>
      <c r="Q28" s="60">
        <f t="shared" si="6"/>
        <v>1773.7265</v>
      </c>
      <c r="R28" s="60">
        <f t="shared" si="6"/>
        <v>1773.7265</v>
      </c>
      <c r="S28" s="60">
        <f t="shared" si="6"/>
        <v>1775.286</v>
      </c>
      <c r="T28" s="60">
        <f t="shared" si="6"/>
        <v>1775.286</v>
      </c>
      <c r="U28" s="60">
        <f t="shared" si="6"/>
        <v>1775.286</v>
      </c>
      <c r="V28" s="60">
        <f t="shared" si="6"/>
        <v>1775.286</v>
      </c>
      <c r="W28" s="60">
        <f t="shared" si="6"/>
        <v>1775.286</v>
      </c>
      <c r="X28" s="60">
        <f t="shared" si="6"/>
        <v>1775.2820000000002</v>
      </c>
      <c r="Y28" s="61">
        <f t="shared" si="4"/>
        <v>21294.071</v>
      </c>
      <c r="Z28" s="66"/>
    </row>
    <row r="29" spans="1:26" ht="12.75" customHeight="1" thickBot="1">
      <c r="A29" s="28" t="s">
        <v>35</v>
      </c>
      <c r="B29" s="45" t="s">
        <v>42</v>
      </c>
      <c r="C29" s="46"/>
      <c r="D29" s="47"/>
      <c r="E29" s="56"/>
      <c r="F29" s="47"/>
      <c r="G29" s="47"/>
      <c r="H29" s="56"/>
      <c r="I29" s="47"/>
      <c r="J29" s="47"/>
      <c r="K29" s="69">
        <f aca="true" t="shared" si="7" ref="K29:X29">SUM(K8+K9+K10-K11)-K28</f>
        <v>-12485.182000000004</v>
      </c>
      <c r="L29" s="69">
        <f>SUM(L8+L9+L10-L11)-L28</f>
        <v>-61710.38050000003</v>
      </c>
      <c r="M29" s="62">
        <f t="shared" si="7"/>
        <v>2460.883500000001</v>
      </c>
      <c r="N29" s="62">
        <f t="shared" si="7"/>
        <v>1437.973499999997</v>
      </c>
      <c r="O29" s="62">
        <f t="shared" si="7"/>
        <v>6842.0035</v>
      </c>
      <c r="P29" s="62">
        <f t="shared" si="7"/>
        <v>1211.9234999999978</v>
      </c>
      <c r="Q29" s="62">
        <f t="shared" si="7"/>
        <v>-578.9965000000041</v>
      </c>
      <c r="R29" s="62">
        <f t="shared" si="7"/>
        <v>5427.0734999999995</v>
      </c>
      <c r="S29" s="62">
        <f t="shared" si="7"/>
        <v>5716.214</v>
      </c>
      <c r="T29" s="62">
        <f t="shared" si="7"/>
        <v>6459.9540000000015</v>
      </c>
      <c r="U29" s="62">
        <f t="shared" si="7"/>
        <v>-489.18599999999424</v>
      </c>
      <c r="V29" s="62">
        <f t="shared" si="7"/>
        <v>-6309.335999999996</v>
      </c>
      <c r="W29" s="62">
        <f t="shared" si="7"/>
        <v>5702.554</v>
      </c>
      <c r="X29" s="62">
        <f t="shared" si="7"/>
        <v>4933.378</v>
      </c>
      <c r="Y29" s="61">
        <f t="shared" si="4"/>
        <v>32814.439</v>
      </c>
      <c r="Z29" s="66"/>
    </row>
    <row r="30" spans="1:26" ht="24" customHeight="1" thickBot="1">
      <c r="A30" s="28" t="s">
        <v>36</v>
      </c>
      <c r="B30" s="80" t="s">
        <v>20</v>
      </c>
      <c r="C30" s="81">
        <v>38023.54</v>
      </c>
      <c r="D30" s="80">
        <v>64098.45</v>
      </c>
      <c r="E30" s="72">
        <f>SUM(E8-E11)</f>
        <v>62500.580000000075</v>
      </c>
      <c r="F30" s="73">
        <f>SUM(F8-F11)</f>
        <v>75623.69</v>
      </c>
      <c r="G30" s="73">
        <f>SUM(G8-G11)</f>
        <v>22994.5</v>
      </c>
      <c r="H30" s="82">
        <f>SUM(H8-H11)-H28</f>
        <v>-8081.066000000028</v>
      </c>
      <c r="I30" s="78">
        <f>SUM(I8-I11)-I28</f>
        <v>-25616.181999999946</v>
      </c>
      <c r="J30" s="78">
        <f>SUM(J8-J11)-J28</f>
        <v>-32281.425999999992</v>
      </c>
      <c r="K30" s="78">
        <f>SUM(K8+K9+K10-K11)-K28</f>
        <v>-12485.182000000004</v>
      </c>
      <c r="L30" s="78">
        <f>SUM(L8+L9+L10-L11)-L28</f>
        <v>-61710.38050000003</v>
      </c>
      <c r="M30" s="83">
        <f>SUM(M8+M9+M10-M11)-M28</f>
        <v>2460.883500000001</v>
      </c>
      <c r="N30" s="84">
        <f>SUM(N29+M30)</f>
        <v>3898.856999999998</v>
      </c>
      <c r="O30" s="84">
        <f aca="true" t="shared" si="8" ref="O30:X30">SUM(O29+N30)</f>
        <v>10740.860499999999</v>
      </c>
      <c r="P30" s="84">
        <f t="shared" si="8"/>
        <v>11952.783999999996</v>
      </c>
      <c r="Q30" s="84">
        <f t="shared" si="8"/>
        <v>11373.787499999991</v>
      </c>
      <c r="R30" s="84">
        <f t="shared" si="8"/>
        <v>16800.86099999999</v>
      </c>
      <c r="S30" s="84">
        <f t="shared" si="8"/>
        <v>22517.07499999999</v>
      </c>
      <c r="T30" s="84">
        <f t="shared" si="8"/>
        <v>28977.02899999999</v>
      </c>
      <c r="U30" s="84">
        <f t="shared" si="8"/>
        <v>28487.842999999997</v>
      </c>
      <c r="V30" s="84">
        <f t="shared" si="8"/>
        <v>22178.507</v>
      </c>
      <c r="W30" s="84">
        <f t="shared" si="8"/>
        <v>27881.061</v>
      </c>
      <c r="X30" s="84">
        <f t="shared" si="8"/>
        <v>32814.439</v>
      </c>
      <c r="Y30" s="73"/>
      <c r="Z30" s="85"/>
    </row>
    <row r="31" spans="1:26" ht="0.75" customHeight="1" thickBot="1">
      <c r="A31" s="28" t="s">
        <v>37</v>
      </c>
      <c r="B31" s="39" t="s">
        <v>21</v>
      </c>
      <c r="C31" s="30">
        <v>38023.54</v>
      </c>
      <c r="D31" s="32">
        <v>102121.99</v>
      </c>
      <c r="E31" s="16">
        <f>SUM(E8-E11,D31)</f>
        <v>164622.57000000007</v>
      </c>
      <c r="F31" s="43">
        <f>SUM(F8-F11,E31)</f>
        <v>240246.26000000007</v>
      </c>
      <c r="G31" s="43">
        <f>SUM(G8-G11,F31)</f>
        <v>263240.76000000007</v>
      </c>
      <c r="H31" s="67">
        <f aca="true" t="shared" si="9" ref="H31:M31">SUM(H30+G31)</f>
        <v>255159.69400000005</v>
      </c>
      <c r="I31" s="61">
        <f t="shared" si="9"/>
        <v>229543.5120000001</v>
      </c>
      <c r="J31" s="61">
        <f t="shared" si="9"/>
        <v>197262.08600000013</v>
      </c>
      <c r="K31" s="61">
        <f t="shared" si="9"/>
        <v>184776.90400000013</v>
      </c>
      <c r="L31" s="61">
        <f t="shared" si="9"/>
        <v>123066.5235000001</v>
      </c>
      <c r="M31" s="61">
        <f t="shared" si="9"/>
        <v>125527.4070000001</v>
      </c>
      <c r="N31" s="63">
        <f>SUM(N29+M31)</f>
        <v>126965.38050000009</v>
      </c>
      <c r="O31" s="63">
        <f>SUM(O29+N31)</f>
        <v>133807.38400000008</v>
      </c>
      <c r="P31" s="63">
        <f aca="true" t="shared" si="10" ref="P31:W31">SUM(P29+O31)</f>
        <v>135019.30750000008</v>
      </c>
      <c r="Q31" s="63">
        <f t="shared" si="10"/>
        <v>134440.31100000007</v>
      </c>
      <c r="R31" s="63">
        <f t="shared" si="10"/>
        <v>139867.38450000007</v>
      </c>
      <c r="S31" s="63">
        <f t="shared" si="10"/>
        <v>145583.59850000008</v>
      </c>
      <c r="T31" s="63">
        <f>SUM(T29+S31)-Z10</f>
        <v>75128.04250000008</v>
      </c>
      <c r="U31" s="63">
        <f t="shared" si="10"/>
        <v>74638.85650000008</v>
      </c>
      <c r="V31" s="63">
        <f t="shared" si="10"/>
        <v>68329.52050000009</v>
      </c>
      <c r="W31" s="63">
        <f t="shared" si="10"/>
        <v>74032.07450000009</v>
      </c>
      <c r="X31" s="63">
        <f>SUM(X29+W31)</f>
        <v>78965.45250000009</v>
      </c>
      <c r="Y31" s="43"/>
      <c r="Z31" s="41"/>
    </row>
    <row r="32" spans="2:26" ht="16.5" customHeight="1">
      <c r="B32" t="s">
        <v>56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9"/>
    </row>
    <row r="33" ht="15" customHeight="1"/>
    <row r="34" ht="14.25" customHeight="1"/>
    <row r="35" ht="15" customHeight="1"/>
    <row r="36" ht="21" customHeight="1"/>
    <row r="41" ht="12.75" customHeight="1"/>
    <row r="42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2020-02-20T12:16:21Z</cp:lastPrinted>
  <dcterms:created xsi:type="dcterms:W3CDTF">2011-06-16T11:06:26Z</dcterms:created>
  <dcterms:modified xsi:type="dcterms:W3CDTF">2020-03-11T08:34:42Z</dcterms:modified>
  <cp:category/>
  <cp:version/>
  <cp:contentType/>
  <cp:contentStatus/>
</cp:coreProperties>
</file>