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<sst xmlns="http://schemas.openxmlformats.org/spreadsheetml/2006/main" count="78" uniqueCount="78">
  <si>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</si>
  <si>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</si>
  <si>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</si>
  <si>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</si>
  <si>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</si>
  <si>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</si>
  <si>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</si>
  <si>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</si>
  <si>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</si>
  <si>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</si>
  <si>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</si>
  <si>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</si>
  <si>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</si>
  <si>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</si>
  <si>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</si>
  <si>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</si>
  <si>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</si>
  <si>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</si>
  <si>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</si>
  <si>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</si>
  <si>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</si>
  <si>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№</t>
  </si>
  <si>
    <t>1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</si>
  <si>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</si>
  <si>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</si>
  <si>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</si>
  <si>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</si>
  <si>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</si>
  <si>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</si>
  <si>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</si>
  <si>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</si>
  <si>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</si>
  <si>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</si>
  <si>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</si>
  <si>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</si>
  <si>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</si>
  <si>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</si>
  <si>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9</t>
  </si>
  <si>
    <t>за 2009 г</t>
  </si>
  <si>
    <t>за 2010 г</t>
  </si>
  <si>
    <t>10</t>
  </si>
  <si>
    <t>по жилому дому г. Унеча ул. Суворова д.10</t>
  </si>
  <si>
    <t>11</t>
  </si>
  <si>
    <t>Благоустройство территории</t>
  </si>
  <si>
    <t>Проверка дымовых каналов</t>
  </si>
  <si>
    <t>12</t>
  </si>
  <si>
    <t>Задолженность на 01.__________.2011г</t>
  </si>
  <si>
    <t>Итого за 2011 г</t>
  </si>
  <si>
    <t>Результат за месяц</t>
  </si>
  <si>
    <t>Итого за 2012 г</t>
  </si>
  <si>
    <t>Финансовый результат по дому с начала года по оплате</t>
  </si>
  <si>
    <t>Финансовый результат по дому с начала деятельности по оплате</t>
  </si>
  <si>
    <t>4.12</t>
  </si>
  <si>
    <t>4.13</t>
  </si>
  <si>
    <t>4.14</t>
  </si>
  <si>
    <t xml:space="preserve">Фин.результат с начала деятельности </t>
  </si>
  <si>
    <t>Итого за 2013 г</t>
  </si>
  <si>
    <t xml:space="preserve">Материалы </t>
  </si>
  <si>
    <t>Итого за 2014 г</t>
  </si>
  <si>
    <t>рентабельность 5%</t>
  </si>
  <si>
    <t>Фин.результат с начала года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</si>
  <si>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</si>
  <si>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</si>
  <si>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</si>
  <si>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</si>
  <si>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</si>
  <si>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2015 г</t>
  </si>
  <si>
    <t>Итого за 2016 г</t>
  </si>
  <si>
    <t>Итого за 2017 г</t>
  </si>
  <si>
    <t>Начислено  СОИД</t>
  </si>
  <si>
    <t>Электроэнергия СОИД</t>
  </si>
  <si>
    <t>Дератизация,</t>
  </si>
  <si>
    <t>Итого за 2018 г</t>
  </si>
  <si>
    <t>Итого за 2019 г</t>
  </si>
  <si>
    <t>Всего за 2009-2019</t>
  </si>
  <si>
    <t>Вывоз ТБО (Утилизация)</t>
  </si>
  <si>
    <t>Дом по ул. Суворова д.10 вступил в ООО "Наш дом" с октября 2009 года    тариф 10,35  руб с января 2019 года тариф 9,6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</si>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</sst>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7" xfId="0" applyFont="1" applyFill="1" applyBorder="1" applyAlignment="1">
      <alignment/>
    </xf>
    <xf numFmtId="0" fontId="25" fillId="0" borderId="25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wrapText="1"/>
    </xf>
    <xf numFmtId="0" fontId="21" fillId="0" borderId="30" xfId="0" applyFont="1" applyBorder="1" applyAlignment="1">
      <alignment horizontal="left" wrapText="1"/>
    </xf>
    <xf numFmtId="49" fontId="21" fillId="0" borderId="29" xfId="0" applyNumberFormat="1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3" fillId="0" borderId="36" xfId="0" applyFont="1" applyBorder="1" applyAlignment="1">
      <alignment horizontal="left" vertical="center" wrapText="1"/>
    </xf>
    <xf numFmtId="0" fontId="21" fillId="0" borderId="27" xfId="0" applyFont="1" applyBorder="1" applyAlignment="1">
      <alignment wrapText="1"/>
    </xf>
    <xf numFmtId="0" fontId="21" fillId="2" borderId="27" xfId="0" applyFont="1" applyFill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0" fontId="21" fillId="0" borderId="28" xfId="0" applyFont="1" applyBorder="1" applyAlignment="1">
      <alignment wrapText="1"/>
    </xf>
    <xf numFmtId="49" fontId="0" fillId="0" borderId="37" xfId="0" applyNumberFormat="1" applyBorder="1" applyAlignment="1">
      <alignment horizontal="center"/>
    </xf>
    <xf numFmtId="2" fontId="21" fillId="0" borderId="25" xfId="0" applyNumberFormat="1" applyFont="1" applyBorder="1" applyAlignment="1">
      <alignment/>
    </xf>
    <xf numFmtId="0" fontId="19" fillId="0" borderId="25" xfId="0" applyFont="1" applyBorder="1" applyAlignment="1">
      <alignment horizontal="center" vertical="center" wrapText="1"/>
    </xf>
    <xf numFmtId="0" fontId="21" fillId="0" borderId="39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2" fontId="21" fillId="0" borderId="36" xfId="0" applyNumberFormat="1" applyFont="1" applyBorder="1" applyAlignment="1">
      <alignment/>
    </xf>
    <xf numFmtId="0" fontId="21" fillId="0" borderId="42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0" fontId="21" fillId="0" borderId="43" xfId="0" applyFont="1" applyBorder="1" applyAlignment="1">
      <alignment wrapText="1"/>
    </xf>
    <xf numFmtId="0" fontId="23" fillId="0" borderId="43" xfId="0" applyFont="1" applyBorder="1" applyAlignment="1">
      <alignment horizontal="left" vertical="center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0" fontId="21" fillId="0" borderId="47" xfId="0" applyFont="1" applyBorder="1" applyAlignment="1">
      <alignment wrapText="1"/>
    </xf>
    <xf numFmtId="0" fontId="21" fillId="2" borderId="47" xfId="0" applyFont="1" applyFill="1" applyBorder="1" applyAlignment="1">
      <alignment wrapText="1"/>
    </xf>
    <xf numFmtId="2" fontId="21" fillId="0" borderId="26" xfId="0" applyNumberFormat="1" applyFont="1" applyBorder="1" applyAlignment="1">
      <alignment horizontal="right" wrapText="1"/>
    </xf>
    <xf numFmtId="0" fontId="26" fillId="0" borderId="38" xfId="0" applyFont="1" applyBorder="1" applyAlignment="1">
      <alignment wrapText="1"/>
    </xf>
    <xf numFmtId="0" fontId="26" fillId="0" borderId="48" xfId="0" applyFont="1" applyBorder="1" applyAlignment="1">
      <alignment wrapText="1"/>
    </xf>
    <xf numFmtId="2" fontId="21" fillId="0" borderId="25" xfId="0" applyNumberFormat="1" applyFont="1" applyBorder="1" applyAlignment="1">
      <alignment horizontal="right" wrapText="1"/>
    </xf>
    <xf numFmtId="0" fontId="21" fillId="2" borderId="37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2" fontId="20" fillId="0" borderId="49" xfId="0" applyNumberFormat="1" applyFont="1" applyBorder="1" applyAlignment="1">
      <alignment/>
    </xf>
    <xf numFmtId="0" fontId="26" fillId="0" borderId="33" xfId="0" applyFont="1" applyBorder="1" applyAlignment="1">
      <alignment wrapText="1"/>
    </xf>
    <xf numFmtId="0" fontId="27" fillId="0" borderId="33" xfId="0" applyFont="1" applyBorder="1" applyAlignment="1">
      <alignment/>
    </xf>
    <xf numFmtId="2" fontId="27" fillId="0" borderId="25" xfId="0" applyNumberFormat="1" applyFont="1" applyBorder="1" applyAlignment="1">
      <alignment/>
    </xf>
    <xf numFmtId="2" fontId="27" fillId="0" borderId="49" xfId="0" applyNumberFormat="1" applyFont="1" applyBorder="1" applyAlignment="1">
      <alignment/>
    </xf>
    <xf numFmtId="2" fontId="21" fillId="0" borderId="37" xfId="0" applyNumberFormat="1" applyFont="1" applyBorder="1" applyAlignment="1">
      <alignment horizontal="right" wrapText="1"/>
    </xf>
    <xf numFmtId="0" fontId="21" fillId="0" borderId="25" xfId="0" applyFont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28" xfId="0" applyNumberFormat="1" applyFont="1" applyBorder="1" applyAlignment="1">
      <alignment/>
    </xf>
    <xf numFmtId="2" fontId="21" fillId="0" borderId="5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19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wrapText="1"/>
    </xf>
    <xf numFmtId="2" fontId="21" fillId="0" borderId="51" xfId="0" applyNumberFormat="1" applyFont="1" applyBorder="1" applyAlignment="1">
      <alignment horizontal="right" wrapText="1"/>
    </xf>
    <xf numFmtId="0" fontId="26" fillId="0" borderId="39" xfId="0" applyFont="1" applyBorder="1" applyAlignment="1">
      <alignment wrapText="1"/>
    </xf>
    <xf numFmtId="2" fontId="21" fillId="0" borderId="26" xfId="0" applyNumberFormat="1" applyFont="1" applyBorder="1" applyAlignment="1">
      <alignment/>
    </xf>
    <xf numFmtId="49" fontId="22" fillId="0" borderId="34" xfId="0" applyNumberFormat="1" applyFont="1" applyBorder="1" applyAlignment="1">
      <alignment horizontal="center"/>
    </xf>
    <xf numFmtId="0" fontId="19" fillId="0" borderId="28" xfId="0" applyFont="1" applyBorder="1" applyAlignment="1">
      <alignment wrapText="1"/>
    </xf>
    <xf numFmtId="2" fontId="28" fillId="0" borderId="36" xfId="0" applyNumberFormat="1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36" xfId="0" applyFont="1" applyBorder="1" applyAlignment="1">
      <alignment/>
    </xf>
    <xf numFmtId="2" fontId="29" fillId="0" borderId="25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8" fillId="0" borderId="52" xfId="0" applyFont="1" applyBorder="1" applyAlignment="1">
      <alignment wrapText="1"/>
    </xf>
    <xf numFmtId="2" fontId="28" fillId="0" borderId="53" xfId="0" applyNumberFormat="1" applyFont="1" applyBorder="1" applyAlignment="1">
      <alignment/>
    </xf>
    <xf numFmtId="2" fontId="28" fillId="0" borderId="54" xfId="0" applyNumberFormat="1" applyFont="1" applyBorder="1" applyAlignment="1">
      <alignment/>
    </xf>
    <xf numFmtId="0" fontId="28" fillId="0" borderId="49" xfId="0" applyFont="1" applyBorder="1" applyAlignment="1">
      <alignment/>
    </xf>
    <xf numFmtId="2" fontId="28" fillId="0" borderId="55" xfId="0" applyNumberFormat="1" applyFont="1" applyBorder="1" applyAlignment="1">
      <alignment/>
    </xf>
    <xf numFmtId="2" fontId="28" fillId="0" borderId="49" xfId="0" applyNumberFormat="1" applyFont="1" applyBorder="1" applyAlignment="1">
      <alignment/>
    </xf>
    <xf numFmtId="2" fontId="28" fillId="0" borderId="25" xfId="0" applyNumberFormat="1" applyFont="1" applyBorder="1" applyAlignment="1">
      <alignment/>
    </xf>
    <xf numFmtId="2" fontId="28" fillId="0" borderId="56" xfId="0" applyNumberFormat="1" applyFont="1" applyBorder="1" applyAlignment="1">
      <alignment/>
    </xf>
    <xf numFmtId="0" fontId="22" fillId="0" borderId="49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PageLayoutView="0" workbookViewId="0" topLeftCell="A7">
      <selection activeCell="B2" sqref="B2:Z2"/>
    </sheetView>
  </sheetViews>
  <sheetFormatPr defaultColWidth="9.00390625" defaultRowHeight="12.75"/>
  <cols>
    <col min="1" max="1" width="4.125" style="29" customWidth="1"/>
    <col min="2" max="2" width="19.00390625" style="0" customWidth="1"/>
    <col min="3" max="3" width="9.375" style="0" hidden="1" customWidth="1"/>
    <col min="4" max="4" width="9.125" style="0" hidden="1" customWidth="1"/>
    <col min="5" max="5" width="9.875" style="0" hidden="1" customWidth="1"/>
    <col min="6" max="6" width="10.125" style="0" hidden="1" customWidth="1"/>
    <col min="7" max="7" width="9.00390625" style="0" hidden="1" customWidth="1"/>
    <col min="8" max="8" width="9.875" style="0" hidden="1" customWidth="1"/>
    <col min="9" max="9" width="10.25390625" style="0" hidden="1" customWidth="1"/>
    <col min="10" max="10" width="10.00390625" style="0" hidden="1" customWidth="1"/>
    <col min="11" max="11" width="9.625" style="0" hidden="1" customWidth="1"/>
    <col min="12" max="12" width="9.875" style="0" hidden="1" customWidth="1"/>
    <col min="13" max="14" width="8.625" style="0" customWidth="1"/>
    <col min="15" max="15" width="8.75390625" style="0" customWidth="1"/>
    <col min="16" max="16" width="8.00390625" style="0" customWidth="1"/>
    <col min="17" max="17" width="7.875" style="0" customWidth="1"/>
    <col min="18" max="18" width="8.25390625" style="0" customWidth="1"/>
    <col min="19" max="19" width="8.125" style="0" customWidth="1"/>
    <col min="20" max="20" width="8.25390625" style="0" customWidth="1"/>
    <col min="21" max="21" width="9.125" style="0" customWidth="1"/>
    <col min="22" max="22" width="8.75390625" style="0" customWidth="1"/>
    <col min="23" max="23" width="9.00390625" style="0" customWidth="1"/>
    <col min="24" max="24" width="8.875" style="0" customWidth="1"/>
    <col min="25" max="25" width="8.75390625" style="0" customWidth="1"/>
    <col min="26" max="26" width="9.75390625" style="0" customWidth="1"/>
    <col min="27" max="27" width="9.625" style="0" bestFit="1" customWidth="1"/>
  </cols>
  <sheetData>
    <row r="1" spans="2:31" ht="12.75" customHeight="1">
      <c r="B1" s="113" t="s">
        <v>77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13" t="s">
        <v>76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4"/>
      <c r="X2" s="114"/>
      <c r="Y2" s="114"/>
      <c r="Z2" s="114"/>
      <c r="AA2" s="4"/>
      <c r="AB2" s="4"/>
      <c r="AC2" s="4"/>
      <c r="AD2" s="4"/>
      <c r="AE2" s="4"/>
    </row>
    <row r="3" spans="2:31" ht="12.75" customHeight="1">
      <c r="B3" s="112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3"/>
      <c r="AB3" s="3"/>
      <c r="AC3" s="3"/>
      <c r="AD3" s="3"/>
      <c r="AE3" s="3"/>
    </row>
    <row r="4" spans="2:31" ht="15" customHeight="1">
      <c r="B4" s="111" t="s">
        <v>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2"/>
      <c r="AB4" s="2"/>
      <c r="AC4" s="2"/>
      <c r="AD4" s="2"/>
      <c r="AE4" s="2"/>
    </row>
    <row r="5" spans="2:31" ht="16.5" customHeight="1">
      <c r="B5" s="111" t="s">
        <v>41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2"/>
      <c r="AB5" s="2"/>
      <c r="AC5" s="2"/>
      <c r="AD5" s="2"/>
      <c r="AE5" s="2"/>
    </row>
    <row r="6" spans="2:31" ht="1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32.25" customHeight="1" thickBot="1">
      <c r="A7" s="38" t="s">
        <v>21</v>
      </c>
      <c r="B7" s="30" t="s">
        <v>5</v>
      </c>
      <c r="C7" s="41" t="s">
        <v>38</v>
      </c>
      <c r="D7" s="63" t="s">
        <v>39</v>
      </c>
      <c r="E7" s="55" t="s">
        <v>47</v>
      </c>
      <c r="F7" s="55" t="s">
        <v>49</v>
      </c>
      <c r="G7" s="55" t="s">
        <v>56</v>
      </c>
      <c r="H7" s="87" t="s">
        <v>58</v>
      </c>
      <c r="I7" s="55" t="s">
        <v>66</v>
      </c>
      <c r="J7" s="55" t="s">
        <v>67</v>
      </c>
      <c r="K7" s="55" t="s">
        <v>68</v>
      </c>
      <c r="L7" s="55" t="s">
        <v>72</v>
      </c>
      <c r="M7" s="6" t="s">
        <v>9</v>
      </c>
      <c r="N7" s="5" t="s">
        <v>10</v>
      </c>
      <c r="O7" s="5" t="s">
        <v>11</v>
      </c>
      <c r="P7" s="5" t="s">
        <v>12</v>
      </c>
      <c r="Q7" s="5" t="s">
        <v>13</v>
      </c>
      <c r="R7" s="5" t="s">
        <v>14</v>
      </c>
      <c r="S7" s="5" t="s">
        <v>15</v>
      </c>
      <c r="T7" s="5" t="s">
        <v>16</v>
      </c>
      <c r="U7" s="5" t="s">
        <v>17</v>
      </c>
      <c r="V7" s="5" t="s">
        <v>18</v>
      </c>
      <c r="W7" s="5" t="s">
        <v>20</v>
      </c>
      <c r="X7" s="15" t="s">
        <v>19</v>
      </c>
      <c r="Y7" s="55" t="s">
        <v>73</v>
      </c>
      <c r="Z7" s="20" t="s">
        <v>74</v>
      </c>
      <c r="AA7" s="1"/>
      <c r="AB7" s="1"/>
      <c r="AC7" s="1"/>
      <c r="AD7" s="1"/>
      <c r="AE7" s="1"/>
    </row>
    <row r="8" spans="1:26" ht="13.5" thickBot="1">
      <c r="A8" s="39" t="s">
        <v>22</v>
      </c>
      <c r="B8" s="31" t="s">
        <v>1</v>
      </c>
      <c r="C8" s="70">
        <v>23448.96</v>
      </c>
      <c r="D8" s="71">
        <v>93795.84</v>
      </c>
      <c r="E8" s="76">
        <v>93790.32</v>
      </c>
      <c r="F8" s="76">
        <v>93729.6</v>
      </c>
      <c r="G8" s="76">
        <v>93719.48</v>
      </c>
      <c r="H8" s="88">
        <v>93608.16</v>
      </c>
      <c r="I8" s="76">
        <v>93589.76</v>
      </c>
      <c r="J8" s="76">
        <v>102263.58</v>
      </c>
      <c r="K8" s="76">
        <v>105138.93</v>
      </c>
      <c r="L8" s="76">
        <v>105200.93</v>
      </c>
      <c r="M8" s="7">
        <v>8132.16</v>
      </c>
      <c r="N8" s="7">
        <v>8132.16</v>
      </c>
      <c r="O8" s="7">
        <v>8132.16</v>
      </c>
      <c r="P8" s="7">
        <v>8132.16</v>
      </c>
      <c r="Q8" s="7">
        <v>8132.16</v>
      </c>
      <c r="R8" s="7">
        <v>8132.16</v>
      </c>
      <c r="S8" s="7">
        <v>8132.16</v>
      </c>
      <c r="T8" s="7">
        <v>8132.16</v>
      </c>
      <c r="U8" s="7">
        <v>8132.16</v>
      </c>
      <c r="V8" s="7">
        <v>8132.16</v>
      </c>
      <c r="W8" s="7">
        <v>8132.16</v>
      </c>
      <c r="X8" s="7">
        <v>8132.16</v>
      </c>
      <c r="Y8" s="56">
        <f>SUM(M8:X8)</f>
        <v>97585.92000000003</v>
      </c>
      <c r="Z8" s="77">
        <f>SUM(C8:X8)</f>
        <v>995871.4800000002</v>
      </c>
    </row>
    <row r="9" spans="1:26" ht="13.5" thickBot="1">
      <c r="A9" s="39"/>
      <c r="B9" s="31" t="s">
        <v>69</v>
      </c>
      <c r="C9" s="70"/>
      <c r="D9" s="88"/>
      <c r="E9" s="90"/>
      <c r="F9" s="90"/>
      <c r="G9" s="90"/>
      <c r="H9" s="88"/>
      <c r="I9" s="90"/>
      <c r="J9" s="90"/>
      <c r="K9" s="90">
        <v>15391.64</v>
      </c>
      <c r="L9" s="90">
        <v>13087</v>
      </c>
      <c r="M9" s="7">
        <f>64.45+38.82</f>
        <v>103.27000000000001</v>
      </c>
      <c r="N9" s="7">
        <f>66.6+38.82</f>
        <v>105.41999999999999</v>
      </c>
      <c r="O9" s="7">
        <f>65.52+38.82</f>
        <v>104.34</v>
      </c>
      <c r="P9" s="7">
        <f>65.52+38.82</f>
        <v>104.34</v>
      </c>
      <c r="Q9" s="7">
        <f>65.52+38.82</f>
        <v>104.34</v>
      </c>
      <c r="R9" s="7">
        <f>65.52+38.82</f>
        <v>104.34</v>
      </c>
      <c r="S9" s="8">
        <f aca="true" t="shared" si="0" ref="S9:X9">65.99+39.55</f>
        <v>105.53999999999999</v>
      </c>
      <c r="T9" s="8">
        <f t="shared" si="0"/>
        <v>105.53999999999999</v>
      </c>
      <c r="U9" s="8">
        <f t="shared" si="0"/>
        <v>105.53999999999999</v>
      </c>
      <c r="V9" s="8">
        <f t="shared" si="0"/>
        <v>105.53999999999999</v>
      </c>
      <c r="W9" s="8">
        <f t="shared" si="0"/>
        <v>105.53999999999999</v>
      </c>
      <c r="X9" s="8">
        <f t="shared" si="0"/>
        <v>105.53999999999999</v>
      </c>
      <c r="Y9" s="56">
        <f>SUM(M9:X9)</f>
        <v>1259.29</v>
      </c>
      <c r="Z9" s="77">
        <f>SUM(C9:X9)</f>
        <v>29737.930000000004</v>
      </c>
    </row>
    <row r="10" spans="1:27" s="101" customFormat="1" ht="17.25" customHeight="1" thickBot="1">
      <c r="A10" s="92" t="s">
        <v>23</v>
      </c>
      <c r="B10" s="93" t="s">
        <v>2</v>
      </c>
      <c r="C10" s="94">
        <f aca="true" t="shared" si="1" ref="C10:M10">SUM(C11:C23)</f>
        <v>12953.689999999999</v>
      </c>
      <c r="D10" s="95">
        <f t="shared" si="1"/>
        <v>135528.48</v>
      </c>
      <c r="E10" s="96">
        <f t="shared" si="1"/>
        <v>125279.96000000002</v>
      </c>
      <c r="F10" s="96">
        <f t="shared" si="1"/>
        <v>80214.54000000001</v>
      </c>
      <c r="G10" s="96">
        <f t="shared" si="1"/>
        <v>91598.82</v>
      </c>
      <c r="H10" s="95">
        <f>SUM(H11:H23)</f>
        <v>93559.51000000001</v>
      </c>
      <c r="I10" s="96">
        <f>SUM(I11:I23)</f>
        <v>77281.21</v>
      </c>
      <c r="J10" s="96">
        <f>SUM(J11:J23)</f>
        <v>79100.41</v>
      </c>
      <c r="K10" s="96">
        <f>SUM(K11:K23)</f>
        <v>95090.03</v>
      </c>
      <c r="L10" s="96">
        <f t="shared" si="1"/>
        <v>96683.31</v>
      </c>
      <c r="M10" s="97">
        <f t="shared" si="1"/>
        <v>6240.32</v>
      </c>
      <c r="N10" s="97">
        <f aca="true" t="shared" si="2" ref="N10:X10">SUM(N11:N23)</f>
        <v>13717.23</v>
      </c>
      <c r="O10" s="97">
        <f t="shared" si="2"/>
        <v>6391.040000000001</v>
      </c>
      <c r="P10" s="97">
        <f>SUM(P11:P23)</f>
        <v>6239.53</v>
      </c>
      <c r="Q10" s="97">
        <f t="shared" si="2"/>
        <v>5950.08</v>
      </c>
      <c r="R10" s="97">
        <f t="shared" si="2"/>
        <v>5830.31</v>
      </c>
      <c r="S10" s="97">
        <f t="shared" si="2"/>
        <v>6063.73</v>
      </c>
      <c r="T10" s="97">
        <f t="shared" si="2"/>
        <v>7174.829999999999</v>
      </c>
      <c r="U10" s="97">
        <f t="shared" si="2"/>
        <v>6916.78</v>
      </c>
      <c r="V10" s="97">
        <f t="shared" si="2"/>
        <v>9912.58</v>
      </c>
      <c r="W10" s="97">
        <f t="shared" si="2"/>
        <v>6016.76</v>
      </c>
      <c r="X10" s="98">
        <f t="shared" si="2"/>
        <v>6234.24</v>
      </c>
      <c r="Y10" s="96">
        <f>SUM(M10:X10)</f>
        <v>86687.43</v>
      </c>
      <c r="Z10" s="99">
        <f>SUM(C10:X10)</f>
        <v>973977.3899999999</v>
      </c>
      <c r="AA10" s="100"/>
    </row>
    <row r="11" spans="1:26" ht="16.5" customHeight="1" thickBot="1">
      <c r="A11" s="39" t="s">
        <v>24</v>
      </c>
      <c r="B11" s="33" t="s">
        <v>75</v>
      </c>
      <c r="C11" s="46">
        <v>3176.67</v>
      </c>
      <c r="D11" s="64">
        <v>15613.46</v>
      </c>
      <c r="E11" s="47">
        <v>13067.99</v>
      </c>
      <c r="F11" s="47">
        <v>17260.36</v>
      </c>
      <c r="G11" s="47">
        <v>21842.78</v>
      </c>
      <c r="H11" s="64">
        <v>17988.05</v>
      </c>
      <c r="I11" s="47">
        <v>15608.6</v>
      </c>
      <c r="J11" s="47">
        <v>15446.27</v>
      </c>
      <c r="K11" s="47">
        <v>14924.63</v>
      </c>
      <c r="L11" s="47">
        <v>15551.75</v>
      </c>
      <c r="M11" s="7"/>
      <c r="N11" s="8"/>
      <c r="O11" s="8"/>
      <c r="P11" s="8">
        <v>33.52</v>
      </c>
      <c r="Q11" s="8">
        <v>25.61</v>
      </c>
      <c r="R11" s="8">
        <v>10.6</v>
      </c>
      <c r="S11" s="8">
        <v>27.92</v>
      </c>
      <c r="T11" s="8">
        <v>20.63</v>
      </c>
      <c r="U11" s="8">
        <v>5.17</v>
      </c>
      <c r="V11" s="8">
        <v>17.8</v>
      </c>
      <c r="W11" s="8">
        <v>14.82</v>
      </c>
      <c r="X11" s="16">
        <v>10.04</v>
      </c>
      <c r="Y11" s="57">
        <f>SUM(M11:X11)</f>
        <v>166.10999999999999</v>
      </c>
      <c r="Z11" s="78">
        <f aca="true" t="shared" si="3" ref="Z11:Z23">SUM(C11:X11)</f>
        <v>150646.67</v>
      </c>
    </row>
    <row r="12" spans="1:26" ht="13.5" customHeight="1" thickBot="1">
      <c r="A12" s="39" t="s">
        <v>25</v>
      </c>
      <c r="B12" s="34" t="s">
        <v>61</v>
      </c>
      <c r="C12" s="48">
        <v>8509.99</v>
      </c>
      <c r="D12" s="65">
        <v>23270.14</v>
      </c>
      <c r="E12" s="49">
        <v>9854.77</v>
      </c>
      <c r="F12" s="49">
        <v>1573.32</v>
      </c>
      <c r="G12" s="49">
        <f>5174.42+1650</f>
        <v>6824.42</v>
      </c>
      <c r="H12" s="65">
        <v>235.2</v>
      </c>
      <c r="I12" s="49">
        <v>531.96</v>
      </c>
      <c r="J12" s="49">
        <v>40.23</v>
      </c>
      <c r="K12" s="49">
        <v>4647.84</v>
      </c>
      <c r="L12" s="49">
        <v>1770</v>
      </c>
      <c r="M12" s="9"/>
      <c r="N12" s="10">
        <v>3480</v>
      </c>
      <c r="O12" s="10"/>
      <c r="P12" s="10"/>
      <c r="Q12" s="10"/>
      <c r="R12" s="10"/>
      <c r="S12" s="10"/>
      <c r="T12" s="10"/>
      <c r="U12" s="10"/>
      <c r="V12" s="10"/>
      <c r="W12" s="10"/>
      <c r="X12" s="17"/>
      <c r="Y12" s="57">
        <f aca="true" t="shared" si="4" ref="Y12:Y25">SUM(M12:X12)</f>
        <v>3480</v>
      </c>
      <c r="Z12" s="78">
        <f t="shared" si="3"/>
        <v>60737.869999999995</v>
      </c>
    </row>
    <row r="13" spans="1:26" ht="23.25" customHeight="1" thickBot="1">
      <c r="A13" s="39" t="s">
        <v>26</v>
      </c>
      <c r="B13" s="32" t="s">
        <v>4</v>
      </c>
      <c r="C13" s="48">
        <v>0</v>
      </c>
      <c r="D13" s="65">
        <v>0</v>
      </c>
      <c r="E13" s="49">
        <v>3241.46</v>
      </c>
      <c r="F13" s="49">
        <v>0</v>
      </c>
      <c r="G13" s="49">
        <v>0</v>
      </c>
      <c r="H13" s="65">
        <v>3614.3</v>
      </c>
      <c r="I13" s="49">
        <v>0</v>
      </c>
      <c r="J13" s="49">
        <v>0</v>
      </c>
      <c r="K13" s="49">
        <v>3939.5</v>
      </c>
      <c r="L13" s="49">
        <v>4540.85</v>
      </c>
      <c r="M13" s="9"/>
      <c r="N13" s="10">
        <v>4256.2</v>
      </c>
      <c r="O13" s="10"/>
      <c r="P13" s="10"/>
      <c r="Q13" s="10"/>
      <c r="R13" s="10"/>
      <c r="S13" s="10"/>
      <c r="T13" s="10"/>
      <c r="U13" s="10"/>
      <c r="V13" s="10"/>
      <c r="W13" s="10"/>
      <c r="X13" s="17"/>
      <c r="Y13" s="57">
        <f t="shared" si="4"/>
        <v>4256.2</v>
      </c>
      <c r="Z13" s="78">
        <f t="shared" si="3"/>
        <v>19592.31</v>
      </c>
    </row>
    <row r="14" spans="1:26" ht="21.75" customHeight="1" thickBot="1">
      <c r="A14" s="39" t="s">
        <v>27</v>
      </c>
      <c r="B14" s="32" t="s">
        <v>44</v>
      </c>
      <c r="C14" s="48">
        <v>0</v>
      </c>
      <c r="D14" s="65">
        <v>0</v>
      </c>
      <c r="E14" s="49">
        <v>1064.56</v>
      </c>
      <c r="F14" s="49">
        <v>0</v>
      </c>
      <c r="G14" s="49">
        <v>0</v>
      </c>
      <c r="H14" s="65"/>
      <c r="I14" s="49">
        <v>1000</v>
      </c>
      <c r="J14" s="49">
        <v>800</v>
      </c>
      <c r="K14" s="49">
        <v>0</v>
      </c>
      <c r="L14" s="49">
        <v>0</v>
      </c>
      <c r="M14" s="9"/>
      <c r="N14" s="10"/>
      <c r="O14" s="10">
        <v>600</v>
      </c>
      <c r="P14" s="10"/>
      <c r="Q14" s="10"/>
      <c r="R14" s="10"/>
      <c r="S14" s="10"/>
      <c r="T14" s="10"/>
      <c r="U14" s="10"/>
      <c r="V14" s="10"/>
      <c r="W14" s="10"/>
      <c r="X14" s="17"/>
      <c r="Y14" s="57">
        <f t="shared" si="4"/>
        <v>600</v>
      </c>
      <c r="Z14" s="78">
        <f t="shared" si="3"/>
        <v>3464.56</v>
      </c>
    </row>
    <row r="15" spans="1:26" ht="15" customHeight="1" thickBot="1">
      <c r="A15" s="39" t="s">
        <v>28</v>
      </c>
      <c r="B15" s="34" t="s">
        <v>57</v>
      </c>
      <c r="C15" s="48">
        <v>0</v>
      </c>
      <c r="D15" s="65">
        <v>48717.65</v>
      </c>
      <c r="E15" s="49">
        <v>41789.39</v>
      </c>
      <c r="F15" s="49">
        <v>1171.4</v>
      </c>
      <c r="G15" s="49">
        <v>1282.11</v>
      </c>
      <c r="H15" s="65">
        <v>9227.46</v>
      </c>
      <c r="I15" s="49">
        <v>-7775.44</v>
      </c>
      <c r="J15" s="49">
        <v>2070.96</v>
      </c>
      <c r="K15" s="49">
        <v>1152.02</v>
      </c>
      <c r="L15" s="49">
        <v>401</v>
      </c>
      <c r="M15" s="9"/>
      <c r="N15" s="10">
        <v>112</v>
      </c>
      <c r="O15" s="10"/>
      <c r="P15" s="10"/>
      <c r="Q15" s="10"/>
      <c r="R15" s="10"/>
      <c r="S15" s="10"/>
      <c r="T15" s="10">
        <f>877.25+385</f>
        <v>1262.25</v>
      </c>
      <c r="U15" s="10">
        <f>686.27+250</f>
        <v>936.27</v>
      </c>
      <c r="V15" s="10">
        <f>2443.2+320</f>
        <v>2763.2</v>
      </c>
      <c r="W15" s="10"/>
      <c r="X15" s="17">
        <v>40</v>
      </c>
      <c r="Y15" s="57">
        <f t="shared" si="4"/>
        <v>5113.719999999999</v>
      </c>
      <c r="Z15" s="78">
        <f t="shared" si="3"/>
        <v>103150.27000000002</v>
      </c>
    </row>
    <row r="16" spans="1:26" ht="23.25" customHeight="1" thickBot="1">
      <c r="A16" s="39" t="s">
        <v>29</v>
      </c>
      <c r="B16" s="34" t="s">
        <v>43</v>
      </c>
      <c r="C16" s="48">
        <v>0</v>
      </c>
      <c r="D16" s="65">
        <v>0</v>
      </c>
      <c r="E16" s="49">
        <v>2236.14</v>
      </c>
      <c r="F16" s="49">
        <v>256</v>
      </c>
      <c r="G16" s="49">
        <v>0</v>
      </c>
      <c r="H16" s="65">
        <v>659.13</v>
      </c>
      <c r="I16" s="49">
        <v>1800</v>
      </c>
      <c r="J16" s="49">
        <v>1121</v>
      </c>
      <c r="K16" s="49">
        <v>331.58</v>
      </c>
      <c r="L16" s="49">
        <v>92</v>
      </c>
      <c r="M16" s="9">
        <v>52.81</v>
      </c>
      <c r="N16" s="10">
        <v>27</v>
      </c>
      <c r="O16" s="10"/>
      <c r="P16" s="10"/>
      <c r="Q16" s="10"/>
      <c r="R16" s="10"/>
      <c r="S16" s="10"/>
      <c r="T16" s="10"/>
      <c r="U16" s="10"/>
      <c r="V16" s="10"/>
      <c r="W16" s="10"/>
      <c r="X16" s="17"/>
      <c r="Y16" s="57">
        <f t="shared" si="4"/>
        <v>79.81</v>
      </c>
      <c r="Z16" s="78">
        <f t="shared" si="3"/>
        <v>6575.660000000001</v>
      </c>
    </row>
    <row r="17" spans="1:26" ht="15" customHeight="1" thickBot="1">
      <c r="A17" s="39" t="s">
        <v>30</v>
      </c>
      <c r="B17" s="34" t="s">
        <v>70</v>
      </c>
      <c r="C17" s="48">
        <v>97.51</v>
      </c>
      <c r="D17" s="65">
        <v>833.69</v>
      </c>
      <c r="E17" s="49">
        <v>2690.27</v>
      </c>
      <c r="F17" s="49">
        <v>2297.83</v>
      </c>
      <c r="G17" s="49">
        <v>0</v>
      </c>
      <c r="H17" s="65"/>
      <c r="I17" s="49">
        <v>0</v>
      </c>
      <c r="J17" s="49">
        <v>0</v>
      </c>
      <c r="K17" s="49">
        <v>14493.48</v>
      </c>
      <c r="L17" s="49">
        <v>11859.43</v>
      </c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7"/>
      <c r="Y17" s="57">
        <f t="shared" si="4"/>
        <v>0</v>
      </c>
      <c r="Z17" s="78">
        <f t="shared" si="3"/>
        <v>32272.21</v>
      </c>
    </row>
    <row r="18" spans="1:26" ht="16.5" customHeight="1" thickBot="1">
      <c r="A18" s="39" t="s">
        <v>31</v>
      </c>
      <c r="B18" s="34" t="s">
        <v>71</v>
      </c>
      <c r="C18" s="48">
        <v>110.82</v>
      </c>
      <c r="D18" s="65">
        <v>1201.72</v>
      </c>
      <c r="E18" s="49">
        <v>577.35</v>
      </c>
      <c r="F18" s="49">
        <v>591.17</v>
      </c>
      <c r="G18" s="49">
        <v>680.05</v>
      </c>
      <c r="H18" s="65">
        <v>654.35</v>
      </c>
      <c r="I18" s="49">
        <v>693.6</v>
      </c>
      <c r="J18" s="49">
        <v>0</v>
      </c>
      <c r="K18" s="49">
        <v>0</v>
      </c>
      <c r="L18" s="49">
        <v>0</v>
      </c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7"/>
      <c r="Y18" s="57">
        <f t="shared" si="4"/>
        <v>0</v>
      </c>
      <c r="Z18" s="78">
        <f t="shared" si="3"/>
        <v>4509.0599999999995</v>
      </c>
    </row>
    <row r="19" spans="1:26" ht="36" customHeight="1" thickBot="1">
      <c r="A19" s="39" t="s">
        <v>32</v>
      </c>
      <c r="B19" s="34" t="s">
        <v>62</v>
      </c>
      <c r="C19" s="48">
        <v>0</v>
      </c>
      <c r="D19" s="65">
        <v>1157.1</v>
      </c>
      <c r="E19" s="49">
        <v>4124.93</v>
      </c>
      <c r="F19" s="49">
        <v>5195.85</v>
      </c>
      <c r="G19" s="49">
        <v>6000.23</v>
      </c>
      <c r="H19" s="65">
        <v>3455.08</v>
      </c>
      <c r="I19" s="49">
        <v>4074.29</v>
      </c>
      <c r="J19" s="49">
        <v>4304.12</v>
      </c>
      <c r="K19" s="49">
        <v>4370.82</v>
      </c>
      <c r="L19" s="49">
        <v>4595.91</v>
      </c>
      <c r="M19" s="9">
        <v>370.23</v>
      </c>
      <c r="N19" s="10">
        <v>388.09</v>
      </c>
      <c r="O19" s="10">
        <v>308.15</v>
      </c>
      <c r="P19" s="10">
        <v>369.05</v>
      </c>
      <c r="Q19" s="10">
        <v>307.01</v>
      </c>
      <c r="R19" s="10">
        <v>235.4</v>
      </c>
      <c r="S19" s="10">
        <v>246.03</v>
      </c>
      <c r="T19" s="10">
        <v>208.53</v>
      </c>
      <c r="U19" s="10">
        <v>234.48</v>
      </c>
      <c r="V19" s="10">
        <v>485.56</v>
      </c>
      <c r="W19" s="10">
        <v>307.03</v>
      </c>
      <c r="X19" s="17">
        <v>261.22</v>
      </c>
      <c r="Y19" s="57">
        <f t="shared" si="4"/>
        <v>3720.7800000000007</v>
      </c>
      <c r="Z19" s="78">
        <f t="shared" si="3"/>
        <v>40999.11000000001</v>
      </c>
    </row>
    <row r="20" spans="1:26" ht="34.5" customHeight="1" thickBot="1">
      <c r="A20" s="39" t="s">
        <v>33</v>
      </c>
      <c r="B20" s="34" t="s">
        <v>63</v>
      </c>
      <c r="C20" s="48">
        <v>438.47</v>
      </c>
      <c r="D20" s="65">
        <v>2014.4</v>
      </c>
      <c r="E20" s="49">
        <v>2247.68</v>
      </c>
      <c r="F20" s="49">
        <v>673.16</v>
      </c>
      <c r="G20" s="49">
        <v>478.49</v>
      </c>
      <c r="H20" s="65">
        <v>1039.35</v>
      </c>
      <c r="I20" s="49">
        <v>702.14</v>
      </c>
      <c r="J20" s="49">
        <v>612.32</v>
      </c>
      <c r="K20" s="49">
        <v>478.1</v>
      </c>
      <c r="L20" s="49">
        <v>463.63</v>
      </c>
      <c r="M20" s="9">
        <v>29.29</v>
      </c>
      <c r="N20" s="10">
        <v>25.28</v>
      </c>
      <c r="O20" s="10">
        <v>22.01</v>
      </c>
      <c r="P20" s="10">
        <v>25.61</v>
      </c>
      <c r="Q20" s="10">
        <v>2.7</v>
      </c>
      <c r="R20" s="10">
        <v>38.38</v>
      </c>
      <c r="S20" s="10">
        <v>43.05</v>
      </c>
      <c r="T20" s="10">
        <v>50.14</v>
      </c>
      <c r="U20" s="10">
        <v>74.52</v>
      </c>
      <c r="V20" s="10">
        <v>18.43</v>
      </c>
      <c r="W20" s="10">
        <v>68.01</v>
      </c>
      <c r="X20" s="17">
        <v>23.93</v>
      </c>
      <c r="Y20" s="57">
        <f t="shared" si="4"/>
        <v>421.34999999999997</v>
      </c>
      <c r="Z20" s="78">
        <f t="shared" si="3"/>
        <v>9569.090000000002</v>
      </c>
    </row>
    <row r="21" spans="1:26" ht="36.75" customHeight="1" thickBot="1">
      <c r="A21" s="39" t="s">
        <v>52</v>
      </c>
      <c r="B21" s="34" t="s">
        <v>64</v>
      </c>
      <c r="C21" s="48">
        <v>0</v>
      </c>
      <c r="D21" s="65">
        <v>1980.03</v>
      </c>
      <c r="E21" s="49">
        <v>3674.94</v>
      </c>
      <c r="F21" s="49">
        <v>3499.11</v>
      </c>
      <c r="G21" s="49">
        <v>4693.51</v>
      </c>
      <c r="H21" s="65">
        <v>4030.25</v>
      </c>
      <c r="I21" s="49">
        <v>5167.47</v>
      </c>
      <c r="J21" s="49">
        <v>4478.78</v>
      </c>
      <c r="K21" s="49">
        <v>4714.95</v>
      </c>
      <c r="L21" s="49">
        <v>5168.47</v>
      </c>
      <c r="M21" s="9">
        <f>18.29+177.16+218.22</f>
        <v>413.66999999999996</v>
      </c>
      <c r="N21" s="10">
        <f>17.23+246.84+211.54</f>
        <v>475.61</v>
      </c>
      <c r="O21" s="10">
        <f>220.62+14.99+164.57</f>
        <v>400.18</v>
      </c>
      <c r="P21" s="10">
        <f>16.03+181.95+584.62</f>
        <v>782.6</v>
      </c>
      <c r="Q21" s="10">
        <f>15.65+200.91+158.45</f>
        <v>375.01</v>
      </c>
      <c r="R21" s="10">
        <f>18.19+139.83+280.55</f>
        <v>438.57000000000005</v>
      </c>
      <c r="S21" s="10">
        <f>17.48+236.83+127.77</f>
        <v>382.08</v>
      </c>
      <c r="T21" s="10">
        <f>16.02+145.58+203.68</f>
        <v>365.28000000000003</v>
      </c>
      <c r="U21" s="10">
        <f>11.66+129.47+185.47</f>
        <v>326.6</v>
      </c>
      <c r="V21" s="10">
        <f>11.82+207.4+527</f>
        <v>746.22</v>
      </c>
      <c r="W21" s="10">
        <f>13.06+130.42+135.73</f>
        <v>279.21</v>
      </c>
      <c r="X21" s="17">
        <f>13.03+394.42+227.83</f>
        <v>635.28</v>
      </c>
      <c r="Y21" s="57">
        <f t="shared" si="4"/>
        <v>5620.3099999999995</v>
      </c>
      <c r="Z21" s="78">
        <f t="shared" si="3"/>
        <v>43027.82</v>
      </c>
    </row>
    <row r="22" spans="1:26" ht="15.75" customHeight="1" thickBot="1">
      <c r="A22" s="39" t="s">
        <v>53</v>
      </c>
      <c r="B22" s="34" t="s">
        <v>7</v>
      </c>
      <c r="C22" s="48">
        <v>420.4</v>
      </c>
      <c r="D22" s="65">
        <v>37462.29</v>
      </c>
      <c r="E22" s="49">
        <v>34875.26</v>
      </c>
      <c r="F22" s="49">
        <v>43950.76</v>
      </c>
      <c r="G22" s="49">
        <v>46371.79</v>
      </c>
      <c r="H22" s="65">
        <v>47412.71</v>
      </c>
      <c r="I22" s="49">
        <v>51799.36</v>
      </c>
      <c r="J22" s="49">
        <v>46668.76</v>
      </c>
      <c r="K22" s="49">
        <v>40836.41</v>
      </c>
      <c r="L22" s="49">
        <v>47847.26</v>
      </c>
      <c r="M22" s="9">
        <f>6240.32-1234.96</f>
        <v>5005.36</v>
      </c>
      <c r="N22" s="10">
        <f>13717.23-9033.52</f>
        <v>4683.709999999999</v>
      </c>
      <c r="O22" s="10">
        <f>6391.04-1678.19</f>
        <v>4712.85</v>
      </c>
      <c r="P22" s="10">
        <f>6239.53-1504.78</f>
        <v>4734.75</v>
      </c>
      <c r="Q22" s="10">
        <f>5950.08-981.79</f>
        <v>4968.29</v>
      </c>
      <c r="R22" s="10">
        <f>5830.31-971.17</f>
        <v>4859.14</v>
      </c>
      <c r="S22" s="10">
        <f>6063.73-1010.66</f>
        <v>5053.07</v>
      </c>
      <c r="T22" s="10">
        <f>7174.83-2315.28</f>
        <v>4859.549999999999</v>
      </c>
      <c r="U22" s="10">
        <f>6916.78-2199.24</f>
        <v>4717.54</v>
      </c>
      <c r="V22" s="10">
        <f>9912.58-4279.47</f>
        <v>5633.11</v>
      </c>
      <c r="W22" s="10">
        <f>6016.76-977.59</f>
        <v>5039.17</v>
      </c>
      <c r="X22" s="17">
        <f>6234.24-1239.63</f>
        <v>4994.61</v>
      </c>
      <c r="Y22" s="57">
        <f t="shared" si="4"/>
        <v>59261.15</v>
      </c>
      <c r="Z22" s="78">
        <f t="shared" si="3"/>
        <v>456906.1499999999</v>
      </c>
    </row>
    <row r="23" spans="1:26" ht="13.5" customHeight="1" thickBot="1">
      <c r="A23" s="39" t="s">
        <v>54</v>
      </c>
      <c r="B23" s="35" t="s">
        <v>3</v>
      </c>
      <c r="C23" s="50">
        <v>199.83</v>
      </c>
      <c r="D23" s="66">
        <v>3278</v>
      </c>
      <c r="E23" s="51">
        <v>5835.22</v>
      </c>
      <c r="F23" s="51">
        <v>3745.58</v>
      </c>
      <c r="G23" s="51">
        <v>3425.44</v>
      </c>
      <c r="H23" s="66">
        <v>5243.63</v>
      </c>
      <c r="I23" s="51">
        <v>3679.23</v>
      </c>
      <c r="J23" s="51">
        <v>3557.97</v>
      </c>
      <c r="K23" s="51">
        <v>5200.7</v>
      </c>
      <c r="L23" s="51">
        <v>4393.01</v>
      </c>
      <c r="M23" s="11">
        <f>19+4.2+345.76</f>
        <v>368.96</v>
      </c>
      <c r="N23" s="12">
        <f>3.38+265.96</f>
        <v>269.34</v>
      </c>
      <c r="O23" s="12">
        <f>4.18+343.67</f>
        <v>347.85</v>
      </c>
      <c r="P23" s="12">
        <f>3.78+290.22</f>
        <v>294</v>
      </c>
      <c r="Q23" s="12">
        <f>3.41+268.05</f>
        <v>271.46000000000004</v>
      </c>
      <c r="R23" s="12">
        <f>3.14+245.08</f>
        <v>248.22</v>
      </c>
      <c r="S23" s="12">
        <f>3.54+308.04</f>
        <v>311.58000000000004</v>
      </c>
      <c r="T23" s="12">
        <f>2.7+72.47+333.28</f>
        <v>408.45</v>
      </c>
      <c r="U23" s="12">
        <f>316+9.18+297.02</f>
        <v>622.2</v>
      </c>
      <c r="V23" s="12">
        <f>3.18+245.08</f>
        <v>248.26000000000002</v>
      </c>
      <c r="W23" s="12">
        <f>3.95+304.57</f>
        <v>308.52</v>
      </c>
      <c r="X23" s="18">
        <f>3.45+265.71</f>
        <v>269.15999999999997</v>
      </c>
      <c r="Y23" s="57">
        <f t="shared" si="4"/>
        <v>3968.0000000000005</v>
      </c>
      <c r="Z23" s="78">
        <f t="shared" si="3"/>
        <v>42526.60999999999</v>
      </c>
    </row>
    <row r="24" spans="1:26" ht="13.5" customHeight="1" thickBot="1">
      <c r="A24" s="39"/>
      <c r="B24" s="81" t="s">
        <v>59</v>
      </c>
      <c r="C24" s="82"/>
      <c r="D24" s="83"/>
      <c r="E24" s="72"/>
      <c r="F24" s="72"/>
      <c r="G24" s="72"/>
      <c r="H24" s="59">
        <f>H8*5%</f>
        <v>4680.408</v>
      </c>
      <c r="I24" s="54">
        <f>I8*5%</f>
        <v>4679.488</v>
      </c>
      <c r="J24" s="54">
        <f>J8*5%</f>
        <v>5113.179</v>
      </c>
      <c r="K24" s="54">
        <f>K8*5%</f>
        <v>5256.9465</v>
      </c>
      <c r="L24" s="54">
        <f>L8*5%</f>
        <v>5260.0465</v>
      </c>
      <c r="M24" s="84">
        <f>(M8+M9)*5%</f>
        <v>411.77150000000006</v>
      </c>
      <c r="N24" s="84">
        <f aca="true" t="shared" si="5" ref="N24:X24">(N8+N9)*5%</f>
        <v>411.879</v>
      </c>
      <c r="O24" s="84">
        <f t="shared" si="5"/>
        <v>411.82500000000005</v>
      </c>
      <c r="P24" s="84">
        <f t="shared" si="5"/>
        <v>411.82500000000005</v>
      </c>
      <c r="Q24" s="84">
        <f t="shared" si="5"/>
        <v>411.82500000000005</v>
      </c>
      <c r="R24" s="84">
        <f t="shared" si="5"/>
        <v>411.82500000000005</v>
      </c>
      <c r="S24" s="84">
        <f t="shared" si="5"/>
        <v>411.88500000000005</v>
      </c>
      <c r="T24" s="84">
        <f t="shared" si="5"/>
        <v>411.88500000000005</v>
      </c>
      <c r="U24" s="84">
        <f t="shared" si="5"/>
        <v>411.88500000000005</v>
      </c>
      <c r="V24" s="84">
        <f t="shared" si="5"/>
        <v>411.88500000000005</v>
      </c>
      <c r="W24" s="84">
        <f t="shared" si="5"/>
        <v>411.88500000000005</v>
      </c>
      <c r="X24" s="84">
        <f t="shared" si="5"/>
        <v>411.88500000000005</v>
      </c>
      <c r="Y24" s="54">
        <f t="shared" si="4"/>
        <v>4942.260500000001</v>
      </c>
      <c r="Z24" s="79"/>
    </row>
    <row r="25" spans="1:26" ht="13.5" customHeight="1" thickBot="1">
      <c r="A25" s="39" t="s">
        <v>34</v>
      </c>
      <c r="B25" s="60" t="s">
        <v>48</v>
      </c>
      <c r="C25" s="61"/>
      <c r="D25" s="80"/>
      <c r="E25" s="69"/>
      <c r="F25" s="69"/>
      <c r="G25" s="69"/>
      <c r="H25" s="89"/>
      <c r="I25" s="69"/>
      <c r="J25" s="69"/>
      <c r="K25" s="91">
        <f aca="true" t="shared" si="6" ref="K25:X25">SUM(K8+K9-K10)-K24</f>
        <v>20183.593499999995</v>
      </c>
      <c r="L25" s="91">
        <f>SUM(L8+L9-L10)-L24</f>
        <v>16344.573499999995</v>
      </c>
      <c r="M25" s="85">
        <f t="shared" si="6"/>
        <v>1583.3385000000005</v>
      </c>
      <c r="N25" s="85">
        <f t="shared" si="6"/>
        <v>-5891.5289999999995</v>
      </c>
      <c r="O25" s="85">
        <f t="shared" si="6"/>
        <v>1433.634999999999</v>
      </c>
      <c r="P25" s="85">
        <f t="shared" si="6"/>
        <v>1585.1450000000002</v>
      </c>
      <c r="Q25" s="85">
        <f t="shared" si="6"/>
        <v>1874.595</v>
      </c>
      <c r="R25" s="85">
        <f t="shared" si="6"/>
        <v>1994.3649999999996</v>
      </c>
      <c r="S25" s="85">
        <f t="shared" si="6"/>
        <v>1762.0850000000012</v>
      </c>
      <c r="T25" s="85">
        <f t="shared" si="6"/>
        <v>650.9850000000017</v>
      </c>
      <c r="U25" s="85">
        <f t="shared" si="6"/>
        <v>909.035000000001</v>
      </c>
      <c r="V25" s="85">
        <f t="shared" si="6"/>
        <v>-2086.7649999999994</v>
      </c>
      <c r="W25" s="85">
        <f t="shared" si="6"/>
        <v>1809.0550000000005</v>
      </c>
      <c r="X25" s="85">
        <f t="shared" si="6"/>
        <v>1591.575000000001</v>
      </c>
      <c r="Y25" s="54">
        <f t="shared" si="4"/>
        <v>7215.519500000005</v>
      </c>
      <c r="Z25" s="75"/>
    </row>
    <row r="26" spans="1:26" ht="27.75" customHeight="1" thickBot="1">
      <c r="A26" s="92" t="s">
        <v>35</v>
      </c>
      <c r="B26" s="102" t="s">
        <v>60</v>
      </c>
      <c r="C26" s="103">
        <f>SUM(C8-C10)</f>
        <v>10495.27</v>
      </c>
      <c r="D26" s="104">
        <f>SUM(D8-D10,C26)</f>
        <v>-31237.370000000014</v>
      </c>
      <c r="E26" s="105">
        <f>SUM(E8-E10)</f>
        <v>-31489.640000000014</v>
      </c>
      <c r="F26" s="105">
        <f>SUM(F8-F10)</f>
        <v>13515.059999999998</v>
      </c>
      <c r="G26" s="105">
        <f>SUM(G8-G10)</f>
        <v>2120.659999999989</v>
      </c>
      <c r="H26" s="106">
        <f>SUM(H8-H10)-H24</f>
        <v>-4631.758000000006</v>
      </c>
      <c r="I26" s="107">
        <f>SUM(I8-I10)-I24</f>
        <v>11629.061999999987</v>
      </c>
      <c r="J26" s="107">
        <f>SUM(J8-J10)-J24</f>
        <v>18049.990999999998</v>
      </c>
      <c r="K26" s="108">
        <f>SUM(K8+K9-K10)-K24</f>
        <v>20183.593499999995</v>
      </c>
      <c r="L26" s="108">
        <f>SUM(L8+L9-L10)-L24</f>
        <v>16344.573499999995</v>
      </c>
      <c r="M26" s="103">
        <f>SUM(M8+M9-M10)-M24</f>
        <v>1583.3385000000005</v>
      </c>
      <c r="N26" s="109">
        <f>SUM(N25+M26)</f>
        <v>-4308.190499999999</v>
      </c>
      <c r="O26" s="109">
        <f aca="true" t="shared" si="7" ref="O26:X26">SUM(O25+N26)</f>
        <v>-2874.5554999999995</v>
      </c>
      <c r="P26" s="109">
        <f t="shared" si="7"/>
        <v>-1289.4104999999993</v>
      </c>
      <c r="Q26" s="109">
        <f t="shared" si="7"/>
        <v>585.1845000000008</v>
      </c>
      <c r="R26" s="109">
        <f t="shared" si="7"/>
        <v>2579.5495</v>
      </c>
      <c r="S26" s="109">
        <f t="shared" si="7"/>
        <v>4341.634500000001</v>
      </c>
      <c r="T26" s="109">
        <f t="shared" si="7"/>
        <v>4992.6195000000025</v>
      </c>
      <c r="U26" s="109">
        <f t="shared" si="7"/>
        <v>5901.654500000003</v>
      </c>
      <c r="V26" s="109">
        <f t="shared" si="7"/>
        <v>3814.889500000004</v>
      </c>
      <c r="W26" s="109">
        <f t="shared" si="7"/>
        <v>5623.944500000004</v>
      </c>
      <c r="X26" s="109">
        <f t="shared" si="7"/>
        <v>7215.519500000005</v>
      </c>
      <c r="Y26" s="105"/>
      <c r="Z26" s="110"/>
    </row>
    <row r="27" spans="1:26" ht="22.5" customHeight="1" thickBot="1">
      <c r="A27" s="39" t="s">
        <v>36</v>
      </c>
      <c r="B27" s="52" t="s">
        <v>55</v>
      </c>
      <c r="C27" s="54">
        <f>SUM(C8-C10)</f>
        <v>10495.27</v>
      </c>
      <c r="D27" s="62">
        <v>-28868.14</v>
      </c>
      <c r="E27" s="57">
        <f>SUM(E8-E10,D27)</f>
        <v>-60357.78000000001</v>
      </c>
      <c r="F27" s="57">
        <f>SUM(F8-F10,E27)</f>
        <v>-46842.720000000016</v>
      </c>
      <c r="G27" s="57">
        <f>SUM(G8-G10,F27)</f>
        <v>-44722.06000000003</v>
      </c>
      <c r="H27" s="59">
        <f aca="true" t="shared" si="8" ref="H27:M27">SUM(H26+G27)</f>
        <v>-49353.818000000036</v>
      </c>
      <c r="I27" s="54">
        <f t="shared" si="8"/>
        <v>-37724.75600000005</v>
      </c>
      <c r="J27" s="54">
        <f t="shared" si="8"/>
        <v>-19674.765000000054</v>
      </c>
      <c r="K27" s="54">
        <f t="shared" si="8"/>
        <v>508.8284999999414</v>
      </c>
      <c r="L27" s="54">
        <f t="shared" si="8"/>
        <v>16853.401999999936</v>
      </c>
      <c r="M27" s="54">
        <f t="shared" si="8"/>
        <v>18436.740499999938</v>
      </c>
      <c r="N27" s="59">
        <f>SUM(N25+M27)</f>
        <v>12545.21149999994</v>
      </c>
      <c r="O27" s="86">
        <f aca="true" t="shared" si="9" ref="O27:W27">SUM(O25+N27)</f>
        <v>13978.846499999938</v>
      </c>
      <c r="P27" s="86">
        <f t="shared" si="9"/>
        <v>15563.991499999938</v>
      </c>
      <c r="Q27" s="86">
        <f t="shared" si="9"/>
        <v>17438.58649999994</v>
      </c>
      <c r="R27" s="86">
        <f t="shared" si="9"/>
        <v>19432.951499999937</v>
      </c>
      <c r="S27" s="86">
        <f t="shared" si="9"/>
        <v>21195.03649999994</v>
      </c>
      <c r="T27" s="86">
        <f t="shared" si="9"/>
        <v>21846.02149999994</v>
      </c>
      <c r="U27" s="86">
        <f t="shared" si="9"/>
        <v>22755.05649999994</v>
      </c>
      <c r="V27" s="86">
        <f t="shared" si="9"/>
        <v>20668.29149999994</v>
      </c>
      <c r="W27" s="86">
        <f t="shared" si="9"/>
        <v>22477.34649999994</v>
      </c>
      <c r="X27" s="86">
        <f>SUM(X25+W27)</f>
        <v>24068.921499999942</v>
      </c>
      <c r="Y27" s="57"/>
      <c r="Z27" s="28"/>
    </row>
    <row r="28" spans="1:26" ht="8.25" customHeight="1" hidden="1" thickBot="1">
      <c r="A28" s="40" t="s">
        <v>37</v>
      </c>
      <c r="B28" s="52" t="s">
        <v>6</v>
      </c>
      <c r="C28" s="42"/>
      <c r="D28" s="67"/>
      <c r="E28" s="44"/>
      <c r="F28" s="42"/>
      <c r="G28" s="42"/>
      <c r="H28" s="42"/>
      <c r="I28" s="42"/>
      <c r="J28" s="42"/>
      <c r="K28" s="42"/>
      <c r="L28" s="42"/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9"/>
      <c r="Y28" s="58"/>
      <c r="Z28" s="22"/>
    </row>
    <row r="29" spans="1:26" ht="15" customHeight="1" hidden="1" thickBot="1">
      <c r="A29" s="40" t="s">
        <v>40</v>
      </c>
      <c r="B29" s="36" t="s">
        <v>46</v>
      </c>
      <c r="C29" s="42"/>
      <c r="D29" s="67"/>
      <c r="E29" s="44"/>
      <c r="F29" s="42"/>
      <c r="G29" s="42"/>
      <c r="H29" s="42"/>
      <c r="I29" s="42"/>
      <c r="J29" s="42"/>
      <c r="K29" s="42"/>
      <c r="L29" s="42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9"/>
      <c r="Y29" s="57"/>
      <c r="Z29" s="21"/>
    </row>
    <row r="30" spans="1:26" ht="24" customHeight="1" hidden="1" thickBot="1">
      <c r="A30" s="53" t="s">
        <v>42</v>
      </c>
      <c r="B30" s="37" t="s">
        <v>50</v>
      </c>
      <c r="C30" s="43"/>
      <c r="D30" s="68"/>
      <c r="E30" s="45"/>
      <c r="F30" s="43"/>
      <c r="G30" s="43"/>
      <c r="H30" s="43"/>
      <c r="I30" s="43"/>
      <c r="J30" s="43"/>
      <c r="K30" s="43"/>
      <c r="L30" s="43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7"/>
      <c r="Y30" s="73"/>
      <c r="Z30" s="74"/>
    </row>
    <row r="31" spans="1:26" ht="35.25" customHeight="1" hidden="1" thickBot="1">
      <c r="A31" s="53" t="s">
        <v>45</v>
      </c>
      <c r="B31" s="37" t="s">
        <v>51</v>
      </c>
      <c r="C31" s="43"/>
      <c r="D31" s="68"/>
      <c r="E31" s="45"/>
      <c r="F31" s="43"/>
      <c r="G31" s="43"/>
      <c r="H31" s="43"/>
      <c r="I31" s="43"/>
      <c r="J31" s="43"/>
      <c r="K31" s="43"/>
      <c r="L31" s="43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  <c r="Y31" s="73"/>
      <c r="Z31" s="74"/>
    </row>
    <row r="32" spans="3:26" ht="24" customHeight="1" hidden="1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ht="0.75" customHeight="1" hidden="1"/>
    <row r="34" ht="12.75" hidden="1"/>
    <row r="35" ht="12.75" hidden="1"/>
    <row r="36" ht="12.75" hidden="1"/>
    <row r="37" ht="15.75" customHeight="1">
      <c r="B37" t="s">
        <v>65</v>
      </c>
    </row>
    <row r="41" ht="12.75" customHeight="1"/>
    <row r="42" ht="12.75" customHeight="1"/>
  </sheetData>
  <sheetProtection/>
  <mergeCells count="5">
    <mergeCell ref="B4:Z4"/>
    <mergeCell ref="B5:Z5"/>
    <mergeCell ref="B3:Z3"/>
    <mergeCell ref="B1:O1"/>
    <mergeCell ref="B2:Z2"/>
  </mergeCells>
  <printOptions/>
  <pageMargins left="0.24" right="0.24" top="0.74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2020-02-21T06:32:51Z</cp:lastPrinted>
  <dcterms:created xsi:type="dcterms:W3CDTF">2011-06-16T11:06:26Z</dcterms:created>
  <dcterms:modified xsi:type="dcterms:W3CDTF">2020-02-21T06:32:54Z</dcterms:modified>
  <cp:category/>
  <cp:version/>
  <cp:contentType/>
  <cp:contentStatus/>
</cp:coreProperties>
</file>