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<sst xmlns="http://schemas.openxmlformats.org/spreadsheetml/2006/main" count="68" uniqueCount="67">
  <si>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СПРАВКА</t>
  </si>
  <si>
    <t xml:space="preserve">Начислено  </t>
  </si>
  <si>
    <t>Расходы</t>
  </si>
  <si>
    <t>Услуги РИРЦ</t>
  </si>
  <si>
    <t>Вывоз ТБО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</si>
  <si>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</si>
  <si>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</si>
  <si>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</si>
  <si>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</si>
  <si>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</si>
  <si>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</si>
  <si>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</si>
  <si>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</si>
  <si>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</si>
  <si>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</si>
  <si>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</si>
  <si>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</si>
  <si>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</si>
  <si>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</si>
  <si>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</si>
  <si>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</si>
  <si>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</si>
  <si>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</si>
  <si>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</si>
  <si>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</si>
  <si>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</si>
  <si>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</si>
  <si>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</si>
  <si>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</si>
  <si>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</si>
  <si>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</si>
  <si>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</si>
  <si>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</si>
  <si>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</si>
  <si>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</si>
  <si>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</si>
  <si>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</si>
  <si>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</si>
  <si>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</si>
  <si>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</si>
  <si>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</si>
  <si>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</si>
  <si>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</si>
  <si>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Суворова д.3</t>
  </si>
  <si>
    <t>Итого за 2011 г</t>
  </si>
  <si>
    <t>Результат за месяц</t>
  </si>
  <si>
    <t>Благоустройство территории</t>
  </si>
  <si>
    <t>Итого за 2012 г</t>
  </si>
  <si>
    <t>4.13</t>
  </si>
  <si>
    <t>4.14</t>
  </si>
  <si>
    <t>Итого за 2013 г</t>
  </si>
  <si>
    <t>Итого за 2014 г</t>
  </si>
  <si>
    <t>рентабельность 5%</t>
  </si>
  <si>
    <t>Итого за 2015 г</t>
  </si>
  <si>
    <t xml:space="preserve">Материалы 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</si>
  <si>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</si>
  <si>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</si>
  <si>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</si>
  <si>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</si>
  <si>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</si>
  <si>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</si>
  <si>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Итого за 2017 г</t>
  </si>
  <si>
    <t>Итого за 2018 г</t>
  </si>
  <si>
    <t>Итого за 2019 г</t>
  </si>
  <si>
    <t>Всего за 2010-2019</t>
  </si>
  <si>
    <t>Дом по ул.Суворова д.3 вступил в ООО "Наш дом" с октября 2010 года            тариф 8,3 руб с января 2019 года тариф 7,8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</si>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</sst>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5" fillId="0" borderId="32" xfId="0" applyFont="1" applyBorder="1" applyAlignment="1">
      <alignment/>
    </xf>
    <xf numFmtId="2" fontId="25" fillId="0" borderId="35" xfId="0" applyNumberFormat="1" applyFont="1" applyBorder="1" applyAlignment="1">
      <alignment/>
    </xf>
    <xf numFmtId="0" fontId="21" fillId="0" borderId="38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5" fillId="0" borderId="40" xfId="0" applyNumberFormat="1" applyFont="1" applyBorder="1" applyAlignment="1">
      <alignment/>
    </xf>
    <xf numFmtId="0" fontId="26" fillId="0" borderId="32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19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27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35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41" xfId="0" applyFont="1" applyBorder="1" applyAlignment="1">
      <alignment/>
    </xf>
    <xf numFmtId="0" fontId="27" fillId="0" borderId="11" xfId="0" applyFont="1" applyBorder="1" applyAlignment="1">
      <alignment/>
    </xf>
    <xf numFmtId="2" fontId="28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0" fontId="27" fillId="0" borderId="40" xfId="0" applyFont="1" applyBorder="1" applyAlignment="1">
      <alignment wrapText="1"/>
    </xf>
    <xf numFmtId="0" fontId="27" fillId="0" borderId="47" xfId="0" applyFont="1" applyBorder="1" applyAlignment="1">
      <alignment wrapText="1"/>
    </xf>
    <xf numFmtId="0" fontId="27" fillId="0" borderId="48" xfId="0" applyFont="1" applyBorder="1" applyAlignment="1">
      <alignment/>
    </xf>
    <xf numFmtId="0" fontId="27" fillId="0" borderId="47" xfId="0" applyFont="1" applyBorder="1" applyAlignment="1">
      <alignment/>
    </xf>
    <xf numFmtId="2" fontId="27" fillId="0" borderId="48" xfId="0" applyNumberFormat="1" applyFont="1" applyBorder="1" applyAlignment="1">
      <alignment/>
    </xf>
    <xf numFmtId="2" fontId="27" fillId="0" borderId="47" xfId="0" applyNumberFormat="1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49" xfId="0" applyNumberFormat="1" applyFont="1" applyBorder="1" applyAlignment="1">
      <alignment/>
    </xf>
    <xf numFmtId="2" fontId="27" fillId="0" borderId="50" xfId="0" applyNumberFormat="1" applyFont="1" applyBorder="1" applyAlignment="1">
      <alignment/>
    </xf>
    <xf numFmtId="0" fontId="22" fillId="0" borderId="4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1">
      <selection activeCell="B2" sqref="B2:X2"/>
    </sheetView>
  </sheetViews>
  <sheetFormatPr defaultColWidth="9.00390625" defaultRowHeight="12.75"/>
  <cols>
    <col min="1" max="1" width="4.25390625" style="26" customWidth="1"/>
    <col min="2" max="2" width="19.125" style="0" customWidth="1"/>
    <col min="3" max="3" width="7.125" style="0" hidden="1" customWidth="1"/>
    <col min="4" max="4" width="7.75390625" style="0" hidden="1" customWidth="1"/>
    <col min="5" max="5" width="8.625" style="0" hidden="1" customWidth="1"/>
    <col min="6" max="6" width="9.375" style="0" hidden="1" customWidth="1"/>
    <col min="7" max="7" width="10.00390625" style="0" hidden="1" customWidth="1"/>
    <col min="8" max="8" width="9.625" style="0" hidden="1" customWidth="1"/>
    <col min="9" max="9" width="9.25390625" style="0" hidden="1" customWidth="1"/>
    <col min="10" max="10" width="9.00390625" style="0" hidden="1" customWidth="1"/>
    <col min="11" max="11" width="9.375" style="0" hidden="1" customWidth="1"/>
    <col min="12" max="13" width="8.875" style="0" customWidth="1"/>
    <col min="14" max="14" width="8.75390625" style="0" customWidth="1"/>
    <col min="15" max="15" width="8.00390625" style="0" customWidth="1"/>
    <col min="16" max="16" width="8.875" style="0" customWidth="1"/>
    <col min="17" max="17" width="8.75390625" style="0" customWidth="1"/>
    <col min="18" max="18" width="9.125" style="0" customWidth="1"/>
    <col min="19" max="19" width="8.75390625" style="0" customWidth="1"/>
    <col min="20" max="20" width="8.875" style="0" customWidth="1"/>
    <col min="21" max="22" width="8.625" style="0" customWidth="1"/>
    <col min="23" max="23" width="8.125" style="0" customWidth="1"/>
    <col min="24" max="24" width="8.375" style="0" customWidth="1"/>
    <col min="25" max="25" width="10.125" style="0" customWidth="1"/>
  </cols>
  <sheetData>
    <row r="1" spans="2:30" ht="12.75" customHeight="1">
      <c r="B1" s="97" t="s">
        <v>66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97" t="s">
        <v>65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8"/>
      <c r="W2" s="98"/>
      <c r="X2" s="98"/>
      <c r="Y2" s="4"/>
      <c r="Z2" s="4"/>
      <c r="AA2" s="4"/>
      <c r="AB2" s="4"/>
      <c r="AC2" s="4"/>
      <c r="AD2" s="4"/>
    </row>
    <row r="3" spans="2:30" ht="12.75" customHeight="1">
      <c r="B3" s="96" t="s">
        <v>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3"/>
      <c r="AA3" s="3"/>
      <c r="AB3" s="3"/>
      <c r="AC3" s="3"/>
      <c r="AD3" s="3"/>
    </row>
    <row r="4" spans="2:30" ht="24" customHeight="1">
      <c r="B4" s="95" t="s">
        <v>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2"/>
      <c r="AA4" s="2"/>
      <c r="AB4" s="2"/>
      <c r="AC4" s="2"/>
      <c r="AD4" s="2"/>
    </row>
    <row r="5" spans="2:30" ht="16.5" customHeight="1">
      <c r="B5" s="95" t="s">
        <v>43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2"/>
      <c r="AA5" s="2"/>
      <c r="AB5" s="2"/>
      <c r="AC5" s="2"/>
      <c r="AD5" s="2"/>
    </row>
    <row r="6" spans="2:30" ht="16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35.25" customHeight="1" thickBot="1">
      <c r="A7" s="34" t="s">
        <v>25</v>
      </c>
      <c r="B7" s="27" t="s">
        <v>5</v>
      </c>
      <c r="C7" s="37" t="s">
        <v>40</v>
      </c>
      <c r="D7" s="63" t="s">
        <v>44</v>
      </c>
      <c r="E7" s="49" t="s">
        <v>47</v>
      </c>
      <c r="F7" s="49" t="s">
        <v>50</v>
      </c>
      <c r="G7" s="63" t="s">
        <v>51</v>
      </c>
      <c r="H7" s="49" t="s">
        <v>53</v>
      </c>
      <c r="I7" s="49" t="s">
        <v>60</v>
      </c>
      <c r="J7" s="49" t="s">
        <v>61</v>
      </c>
      <c r="K7" s="49" t="s">
        <v>62</v>
      </c>
      <c r="L7" s="6" t="s">
        <v>9</v>
      </c>
      <c r="M7" s="5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5" t="s">
        <v>18</v>
      </c>
      <c r="V7" s="5" t="s">
        <v>20</v>
      </c>
      <c r="W7" s="15" t="s">
        <v>19</v>
      </c>
      <c r="X7" s="49" t="s">
        <v>63</v>
      </c>
      <c r="Y7" s="44" t="s">
        <v>64</v>
      </c>
      <c r="Z7" s="1"/>
      <c r="AA7" s="1"/>
      <c r="AB7" s="1"/>
      <c r="AC7" s="1"/>
      <c r="AD7" s="1"/>
    </row>
    <row r="8" spans="1:25" ht="15.75" customHeight="1" thickBot="1">
      <c r="A8" s="35" t="s">
        <v>26</v>
      </c>
      <c r="B8" s="28" t="s">
        <v>1</v>
      </c>
      <c r="C8" s="59">
        <v>4185.69</v>
      </c>
      <c r="D8" s="64">
        <v>16742.76</v>
      </c>
      <c r="E8" s="60">
        <v>16742.76</v>
      </c>
      <c r="F8" s="59">
        <v>16742.76</v>
      </c>
      <c r="G8" s="64">
        <v>16742.76</v>
      </c>
      <c r="H8" s="59">
        <v>16742.76</v>
      </c>
      <c r="I8" s="59">
        <v>16747.74</v>
      </c>
      <c r="J8" s="59">
        <v>16805.84</v>
      </c>
      <c r="K8" s="59">
        <v>16812.48</v>
      </c>
      <c r="L8" s="7">
        <v>1316.64</v>
      </c>
      <c r="M8" s="7">
        <v>1316.64</v>
      </c>
      <c r="N8" s="7">
        <v>1316.64</v>
      </c>
      <c r="O8" s="7">
        <v>1316.64</v>
      </c>
      <c r="P8" s="7">
        <v>1316.64</v>
      </c>
      <c r="Q8" s="7">
        <v>1316.64</v>
      </c>
      <c r="R8" s="7">
        <v>1316.64</v>
      </c>
      <c r="S8" s="7">
        <v>1316.64</v>
      </c>
      <c r="T8" s="7">
        <v>1316.64</v>
      </c>
      <c r="U8" s="7">
        <v>1316.64</v>
      </c>
      <c r="V8" s="7">
        <v>1316.64</v>
      </c>
      <c r="W8" s="7">
        <v>1316.64</v>
      </c>
      <c r="X8" s="50">
        <f>SUM(L8:W8)</f>
        <v>15799.679999999998</v>
      </c>
      <c r="Y8" s="54">
        <f>SUM(C8:W8)</f>
        <v>154065.23000000016</v>
      </c>
    </row>
    <row r="9" spans="1:25" s="84" customFormat="1" ht="13.5" thickBot="1">
      <c r="A9" s="77" t="s">
        <v>27</v>
      </c>
      <c r="B9" s="78" t="s">
        <v>2</v>
      </c>
      <c r="C9" s="79">
        <f aca="true" t="shared" si="0" ref="C9:L9">SUM(C10:C18)</f>
        <v>2178.9500000000003</v>
      </c>
      <c r="D9" s="80">
        <f t="shared" si="0"/>
        <v>13759.730000000003</v>
      </c>
      <c r="E9" s="79">
        <f t="shared" si="0"/>
        <v>20107.21</v>
      </c>
      <c r="F9" s="79">
        <f t="shared" si="0"/>
        <v>15897.3</v>
      </c>
      <c r="G9" s="81">
        <f t="shared" si="0"/>
        <v>15726.87</v>
      </c>
      <c r="H9" s="79">
        <f>SUM(H10:H18)</f>
        <v>8172.16</v>
      </c>
      <c r="I9" s="79">
        <f>SUM(I10:I18)</f>
        <v>13798.55</v>
      </c>
      <c r="J9" s="79">
        <f>SUM(J10:J18)</f>
        <v>13441.66</v>
      </c>
      <c r="K9" s="79">
        <f t="shared" si="0"/>
        <v>13650.869999999999</v>
      </c>
      <c r="L9" s="82">
        <f t="shared" si="0"/>
        <v>1189.4800000000002</v>
      </c>
      <c r="M9" s="82">
        <f aca="true" t="shared" si="1" ref="M9:W9">SUM(M10:M18)</f>
        <v>1150.0299999999997</v>
      </c>
      <c r="N9" s="82">
        <f t="shared" si="1"/>
        <v>1121.22</v>
      </c>
      <c r="O9" s="82">
        <f t="shared" si="1"/>
        <v>1233.74</v>
      </c>
      <c r="P9" s="82">
        <f t="shared" si="1"/>
        <v>1279.09</v>
      </c>
      <c r="Q9" s="82">
        <f t="shared" si="1"/>
        <v>1134.12</v>
      </c>
      <c r="R9" s="82">
        <f t="shared" si="1"/>
        <v>1194.77</v>
      </c>
      <c r="S9" s="82">
        <f t="shared" si="1"/>
        <v>1516</v>
      </c>
      <c r="T9" s="82">
        <f t="shared" si="1"/>
        <v>1104.07</v>
      </c>
      <c r="U9" s="82">
        <f t="shared" si="1"/>
        <v>1289.3899999999999</v>
      </c>
      <c r="V9" s="82">
        <f t="shared" si="1"/>
        <v>1173.37</v>
      </c>
      <c r="W9" s="80">
        <f t="shared" si="1"/>
        <v>1216.81</v>
      </c>
      <c r="X9" s="79">
        <f>SUM(L9:W9)</f>
        <v>14602.089999999998</v>
      </c>
      <c r="Y9" s="83">
        <f>SUM(C9:W9)</f>
        <v>131335.39</v>
      </c>
    </row>
    <row r="10" spans="1:25" ht="16.5" customHeight="1" thickBot="1">
      <c r="A10" s="35" t="s">
        <v>28</v>
      </c>
      <c r="B10" s="29" t="s">
        <v>4</v>
      </c>
      <c r="C10" s="41">
        <v>16.25</v>
      </c>
      <c r="D10" s="65">
        <v>1139.24</v>
      </c>
      <c r="E10" s="41">
        <v>2077.7</v>
      </c>
      <c r="F10" s="41">
        <v>1915.09</v>
      </c>
      <c r="G10" s="65">
        <v>1534.65</v>
      </c>
      <c r="H10" s="41">
        <v>672.29</v>
      </c>
      <c r="I10" s="41">
        <v>283.16</v>
      </c>
      <c r="J10" s="41">
        <v>95.6</v>
      </c>
      <c r="K10" s="41">
        <v>110.86</v>
      </c>
      <c r="L10" s="7"/>
      <c r="M10" s="8"/>
      <c r="N10" s="8"/>
      <c r="O10" s="8">
        <v>3.72</v>
      </c>
      <c r="P10" s="8">
        <v>2.85</v>
      </c>
      <c r="Q10" s="8">
        <v>1.18</v>
      </c>
      <c r="R10" s="8">
        <v>3.1</v>
      </c>
      <c r="S10" s="8">
        <v>2.29</v>
      </c>
      <c r="T10" s="8">
        <v>0.77</v>
      </c>
      <c r="U10" s="8">
        <v>2.74</v>
      </c>
      <c r="V10" s="8">
        <v>2.28</v>
      </c>
      <c r="W10" s="16">
        <v>1.54</v>
      </c>
      <c r="X10" s="51">
        <f aca="true" t="shared" si="2" ref="X10:X20">SUM(L10:W10)</f>
        <v>20.47</v>
      </c>
      <c r="Y10" s="55">
        <f aca="true" t="shared" si="3" ref="Y10:Y18">SUM(C10:W10)</f>
        <v>7865.310000000001</v>
      </c>
    </row>
    <row r="11" spans="1:25" ht="18.75" customHeight="1" thickBot="1">
      <c r="A11" s="35" t="s">
        <v>29</v>
      </c>
      <c r="B11" s="30" t="s">
        <v>55</v>
      </c>
      <c r="C11" s="42">
        <v>30.92</v>
      </c>
      <c r="D11" s="66">
        <v>1692.2</v>
      </c>
      <c r="E11" s="42">
        <v>3486.44</v>
      </c>
      <c r="F11" s="42">
        <v>2131.14</v>
      </c>
      <c r="G11" s="66">
        <v>551.82</v>
      </c>
      <c r="H11" s="42">
        <v>2459.15</v>
      </c>
      <c r="I11" s="42">
        <v>6.44</v>
      </c>
      <c r="J11" s="42">
        <v>797.84</v>
      </c>
      <c r="K11" s="42">
        <v>0</v>
      </c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7"/>
      <c r="X11" s="51">
        <f>SUM(L11:W11)</f>
        <v>0</v>
      </c>
      <c r="Y11" s="55">
        <f t="shared" si="3"/>
        <v>11155.95</v>
      </c>
    </row>
    <row r="12" spans="1:25" ht="16.5" customHeight="1" thickBot="1">
      <c r="A12" s="35" t="s">
        <v>30</v>
      </c>
      <c r="B12" s="30" t="s">
        <v>54</v>
      </c>
      <c r="C12" s="42">
        <v>23.35</v>
      </c>
      <c r="D12" s="66">
        <v>599.86</v>
      </c>
      <c r="E12" s="42">
        <v>2050.38</v>
      </c>
      <c r="F12" s="42">
        <v>0</v>
      </c>
      <c r="G12" s="66">
        <v>1916.45</v>
      </c>
      <c r="H12" s="42">
        <v>152.23</v>
      </c>
      <c r="I12" s="42">
        <v>986.26</v>
      </c>
      <c r="J12" s="42">
        <v>95</v>
      </c>
      <c r="K12" s="42">
        <v>100</v>
      </c>
      <c r="L12" s="9"/>
      <c r="M12" s="10"/>
      <c r="N12" s="10"/>
      <c r="O12" s="10"/>
      <c r="P12" s="10"/>
      <c r="Q12" s="10"/>
      <c r="R12" s="10"/>
      <c r="S12" s="10">
        <v>385</v>
      </c>
      <c r="T12" s="10"/>
      <c r="U12" s="10"/>
      <c r="V12" s="10"/>
      <c r="W12" s="17"/>
      <c r="X12" s="51">
        <f t="shared" si="2"/>
        <v>385</v>
      </c>
      <c r="Y12" s="55">
        <f>SUM(C12:W12)</f>
        <v>6308.53</v>
      </c>
    </row>
    <row r="13" spans="1:25" ht="29.25" customHeight="1" thickBot="1">
      <c r="A13" s="35" t="s">
        <v>31</v>
      </c>
      <c r="B13" s="30" t="s">
        <v>46</v>
      </c>
      <c r="C13" s="42">
        <v>92.4</v>
      </c>
      <c r="D13" s="66">
        <v>0</v>
      </c>
      <c r="E13" s="42">
        <v>256</v>
      </c>
      <c r="F13" s="42">
        <v>0</v>
      </c>
      <c r="G13" s="66"/>
      <c r="H13" s="42">
        <v>0</v>
      </c>
      <c r="I13" s="42">
        <v>51</v>
      </c>
      <c r="J13" s="42">
        <v>0</v>
      </c>
      <c r="K13" s="42">
        <v>0</v>
      </c>
      <c r="L13" s="9">
        <v>5.87</v>
      </c>
      <c r="M13" s="10">
        <v>3</v>
      </c>
      <c r="N13" s="10"/>
      <c r="O13" s="10"/>
      <c r="P13" s="10"/>
      <c r="Q13" s="10"/>
      <c r="R13" s="10"/>
      <c r="S13" s="10"/>
      <c r="T13" s="10"/>
      <c r="U13" s="10"/>
      <c r="V13" s="10"/>
      <c r="W13" s="17"/>
      <c r="X13" s="51">
        <f>SUM(L13:W13)</f>
        <v>8.870000000000001</v>
      </c>
      <c r="Y13" s="55">
        <f>SUM(C13:W13)</f>
        <v>408.27</v>
      </c>
    </row>
    <row r="14" spans="1:25" ht="34.5" customHeight="1" thickBot="1">
      <c r="A14" s="35" t="s">
        <v>32</v>
      </c>
      <c r="B14" s="30" t="s">
        <v>56</v>
      </c>
      <c r="C14" s="42">
        <v>132.85</v>
      </c>
      <c r="D14" s="66">
        <v>816.22</v>
      </c>
      <c r="E14" s="42">
        <v>1969.58</v>
      </c>
      <c r="F14" s="42">
        <v>1026.25</v>
      </c>
      <c r="G14" s="66">
        <v>684.98</v>
      </c>
      <c r="H14" s="42">
        <v>807.89</v>
      </c>
      <c r="I14" s="42">
        <v>854.53</v>
      </c>
      <c r="J14" s="42">
        <v>871.18</v>
      </c>
      <c r="K14" s="42">
        <v>915.91</v>
      </c>
      <c r="L14" s="9">
        <v>73.78</v>
      </c>
      <c r="M14" s="10">
        <v>77.33</v>
      </c>
      <c r="N14" s="10">
        <v>61.4</v>
      </c>
      <c r="O14" s="10">
        <v>73.54</v>
      </c>
      <c r="P14" s="10">
        <v>61.18</v>
      </c>
      <c r="Q14" s="10">
        <v>46.91</v>
      </c>
      <c r="R14" s="10">
        <v>49.03</v>
      </c>
      <c r="S14" s="10">
        <v>41.55</v>
      </c>
      <c r="T14" s="10">
        <v>46.72</v>
      </c>
      <c r="U14" s="10">
        <v>96.76</v>
      </c>
      <c r="V14" s="10">
        <v>61.18</v>
      </c>
      <c r="W14" s="17">
        <v>52.05</v>
      </c>
      <c r="X14" s="51">
        <f t="shared" si="2"/>
        <v>741.4299999999998</v>
      </c>
      <c r="Y14" s="55">
        <f t="shared" si="3"/>
        <v>8820.82</v>
      </c>
    </row>
    <row r="15" spans="1:25" ht="38.25" customHeight="1" thickBot="1">
      <c r="A15" s="35" t="s">
        <v>33</v>
      </c>
      <c r="B15" s="30" t="s">
        <v>57</v>
      </c>
      <c r="C15" s="42">
        <v>186.85</v>
      </c>
      <c r="D15" s="66">
        <v>444.39</v>
      </c>
      <c r="E15" s="42">
        <v>133.27</v>
      </c>
      <c r="F15" s="42">
        <v>94.73</v>
      </c>
      <c r="G15" s="66">
        <v>206.05</v>
      </c>
      <c r="H15" s="42">
        <v>139.24</v>
      </c>
      <c r="I15" s="42">
        <v>121.57</v>
      </c>
      <c r="J15" s="42">
        <v>95.29</v>
      </c>
      <c r="K15" s="42">
        <v>92.36</v>
      </c>
      <c r="L15" s="9">
        <v>5.84</v>
      </c>
      <c r="M15" s="10">
        <v>5.03</v>
      </c>
      <c r="N15" s="10">
        <v>4.39</v>
      </c>
      <c r="O15" s="10">
        <v>5.1</v>
      </c>
      <c r="P15" s="10">
        <v>0.54</v>
      </c>
      <c r="Q15" s="10">
        <v>7.65</v>
      </c>
      <c r="R15" s="10">
        <v>8.58</v>
      </c>
      <c r="S15" s="10">
        <v>9.99</v>
      </c>
      <c r="T15" s="10">
        <v>14.85</v>
      </c>
      <c r="U15" s="10">
        <v>3.67</v>
      </c>
      <c r="V15" s="10">
        <v>13.55</v>
      </c>
      <c r="W15" s="17">
        <v>4.77</v>
      </c>
      <c r="X15" s="51">
        <f t="shared" si="2"/>
        <v>83.96</v>
      </c>
      <c r="Y15" s="55">
        <f t="shared" si="3"/>
        <v>1597.7099999999996</v>
      </c>
    </row>
    <row r="16" spans="1:25" ht="34.5" thickBot="1">
      <c r="A16" s="35" t="s">
        <v>34</v>
      </c>
      <c r="B16" s="30" t="s">
        <v>58</v>
      </c>
      <c r="C16" s="42">
        <v>19.71</v>
      </c>
      <c r="D16" s="66">
        <v>1063.06</v>
      </c>
      <c r="E16" s="42">
        <v>692.79</v>
      </c>
      <c r="F16" s="42">
        <v>929.41</v>
      </c>
      <c r="G16" s="66">
        <v>800.98</v>
      </c>
      <c r="H16" s="42">
        <v>977.19</v>
      </c>
      <c r="I16" s="42">
        <v>889.28</v>
      </c>
      <c r="J16" s="42">
        <v>939.9</v>
      </c>
      <c r="K16" s="42">
        <v>1030</v>
      </c>
      <c r="L16" s="9">
        <f>3.64+35.3+43.48</f>
        <v>82.41999999999999</v>
      </c>
      <c r="M16" s="10">
        <f>3.43+49.19+42.15</f>
        <v>94.77</v>
      </c>
      <c r="N16" s="10">
        <f>43.96+2.99+32.79</f>
        <v>79.74000000000001</v>
      </c>
      <c r="O16" s="10">
        <f>3.19+36.26+116.5</f>
        <v>155.95</v>
      </c>
      <c r="P16" s="10">
        <f>3.12+40.03+31.57</f>
        <v>74.72</v>
      </c>
      <c r="Q16" s="10">
        <f>3.62+27.86+55.91</f>
        <v>87.39</v>
      </c>
      <c r="R16" s="10">
        <f>3.48+25.46</f>
        <v>28.94</v>
      </c>
      <c r="S16" s="10">
        <f>3.19+29.01+40.59</f>
        <v>72.79</v>
      </c>
      <c r="T16" s="10">
        <f>2.32+25.8+36.96</f>
        <v>65.08</v>
      </c>
      <c r="U16" s="10">
        <f>2.35+41.35+105.02</f>
        <v>148.72</v>
      </c>
      <c r="V16" s="10">
        <f>2.6+25.99+27.05</f>
        <v>55.64</v>
      </c>
      <c r="W16" s="17">
        <f>2.6+78.6+45.4</f>
        <v>126.6</v>
      </c>
      <c r="X16" s="51">
        <f t="shared" si="2"/>
        <v>1072.76</v>
      </c>
      <c r="Y16" s="55">
        <f t="shared" si="3"/>
        <v>8415.079999999998</v>
      </c>
    </row>
    <row r="17" spans="1:25" ht="15.75" customHeight="1" thickBot="1">
      <c r="A17" s="35" t="s">
        <v>48</v>
      </c>
      <c r="B17" s="30" t="s">
        <v>7</v>
      </c>
      <c r="C17" s="42">
        <v>1564.66</v>
      </c>
      <c r="D17" s="66">
        <v>6900.63</v>
      </c>
      <c r="E17" s="42">
        <v>8702.15</v>
      </c>
      <c r="F17" s="42">
        <v>9182.31</v>
      </c>
      <c r="G17" s="66">
        <v>9399.78</v>
      </c>
      <c r="H17" s="42">
        <v>2332.01</v>
      </c>
      <c r="I17" s="42">
        <v>9974.13</v>
      </c>
      <c r="J17" s="42">
        <v>9995.43</v>
      </c>
      <c r="K17" s="42">
        <v>10731.01</v>
      </c>
      <c r="L17" s="9">
        <f>1189.48-192.07</f>
        <v>997.4100000000001</v>
      </c>
      <c r="M17" s="10">
        <f>1150.03-216.71</f>
        <v>933.3199999999999</v>
      </c>
      <c r="N17" s="10">
        <f>1121.22-182.11</f>
        <v>939.11</v>
      </c>
      <c r="O17" s="10">
        <f>1233.74-290.26</f>
        <v>943.48</v>
      </c>
      <c r="P17" s="10">
        <f>1279.09-289.08</f>
        <v>990.01</v>
      </c>
      <c r="Q17" s="10">
        <f>1134.12-165.84</f>
        <v>968.2799999999999</v>
      </c>
      <c r="R17" s="10">
        <f>1194.77-140.67</f>
        <v>1054.1</v>
      </c>
      <c r="S17" s="10">
        <f>1516-547.64</f>
        <v>968.36</v>
      </c>
      <c r="T17" s="10">
        <f>1104.07-164</f>
        <v>940.0699999999999</v>
      </c>
      <c r="U17" s="10">
        <f>1289.39-288.47</f>
        <v>1000.9200000000001</v>
      </c>
      <c r="V17" s="10">
        <f>1173.37-169.23</f>
        <v>1004.1399999999999</v>
      </c>
      <c r="W17" s="17">
        <f>1216.81-221.54</f>
        <v>995.27</v>
      </c>
      <c r="X17" s="51">
        <f t="shared" si="2"/>
        <v>11734.47</v>
      </c>
      <c r="Y17" s="55">
        <f t="shared" si="3"/>
        <v>80516.58000000002</v>
      </c>
    </row>
    <row r="18" spans="1:25" ht="18" customHeight="1" thickBot="1">
      <c r="A18" s="35" t="s">
        <v>49</v>
      </c>
      <c r="B18" s="31" t="s">
        <v>3</v>
      </c>
      <c r="C18" s="43">
        <v>111.96</v>
      </c>
      <c r="D18" s="67">
        <v>1104.13</v>
      </c>
      <c r="E18" s="43">
        <v>738.9</v>
      </c>
      <c r="F18" s="43">
        <v>618.37</v>
      </c>
      <c r="G18" s="67">
        <v>632.16</v>
      </c>
      <c r="H18" s="43">
        <v>632.16</v>
      </c>
      <c r="I18" s="43">
        <v>632.18</v>
      </c>
      <c r="J18" s="43">
        <v>551.42</v>
      </c>
      <c r="K18" s="43">
        <v>670.73</v>
      </c>
      <c r="L18" s="11">
        <v>24.16</v>
      </c>
      <c r="M18" s="12">
        <v>36.58</v>
      </c>
      <c r="N18" s="12">
        <f>36.58</f>
        <v>36.58</v>
      </c>
      <c r="O18" s="12">
        <v>51.95</v>
      </c>
      <c r="P18" s="12">
        <v>149.79</v>
      </c>
      <c r="Q18" s="12">
        <v>22.71</v>
      </c>
      <c r="R18" s="12">
        <v>51.02</v>
      </c>
      <c r="S18" s="12">
        <v>36.02</v>
      </c>
      <c r="T18" s="12">
        <v>36.58</v>
      </c>
      <c r="U18" s="12">
        <v>36.58</v>
      </c>
      <c r="V18" s="12">
        <v>36.58</v>
      </c>
      <c r="W18" s="19">
        <v>36.58</v>
      </c>
      <c r="X18" s="51">
        <f t="shared" si="2"/>
        <v>555.1299999999999</v>
      </c>
      <c r="Y18" s="55">
        <f t="shared" si="3"/>
        <v>6247.14</v>
      </c>
    </row>
    <row r="19" spans="1:25" ht="18" customHeight="1" thickBot="1">
      <c r="A19" s="35"/>
      <c r="B19" s="38" t="s">
        <v>52</v>
      </c>
      <c r="C19" s="69"/>
      <c r="D19" s="70"/>
      <c r="E19" s="69"/>
      <c r="F19" s="69"/>
      <c r="G19" s="75">
        <f aca="true" t="shared" si="4" ref="G19:L19">G8*5%</f>
        <v>837.1379999999999</v>
      </c>
      <c r="H19" s="72">
        <f t="shared" si="4"/>
        <v>837.1379999999999</v>
      </c>
      <c r="I19" s="72">
        <f t="shared" si="4"/>
        <v>837.3870000000002</v>
      </c>
      <c r="J19" s="72">
        <f t="shared" si="4"/>
        <v>840.292</v>
      </c>
      <c r="K19" s="72">
        <f t="shared" si="4"/>
        <v>840.624</v>
      </c>
      <c r="L19" s="71">
        <f t="shared" si="4"/>
        <v>65.83200000000001</v>
      </c>
      <c r="M19" s="71">
        <f aca="true" t="shared" si="5" ref="M19:W19">M8*5%</f>
        <v>65.83200000000001</v>
      </c>
      <c r="N19" s="71">
        <f t="shared" si="5"/>
        <v>65.83200000000001</v>
      </c>
      <c r="O19" s="71">
        <f t="shared" si="5"/>
        <v>65.83200000000001</v>
      </c>
      <c r="P19" s="71">
        <f t="shared" si="5"/>
        <v>65.83200000000001</v>
      </c>
      <c r="Q19" s="71">
        <f t="shared" si="5"/>
        <v>65.83200000000001</v>
      </c>
      <c r="R19" s="71">
        <f t="shared" si="5"/>
        <v>65.83200000000001</v>
      </c>
      <c r="S19" s="71">
        <f t="shared" si="5"/>
        <v>65.83200000000001</v>
      </c>
      <c r="T19" s="71">
        <f t="shared" si="5"/>
        <v>65.83200000000001</v>
      </c>
      <c r="U19" s="71">
        <f t="shared" si="5"/>
        <v>65.83200000000001</v>
      </c>
      <c r="V19" s="71">
        <f t="shared" si="5"/>
        <v>65.83200000000001</v>
      </c>
      <c r="W19" s="71">
        <f t="shared" si="5"/>
        <v>65.83200000000001</v>
      </c>
      <c r="X19" s="72">
        <f t="shared" si="2"/>
        <v>789.984</v>
      </c>
      <c r="Y19" s="58"/>
    </row>
    <row r="20" spans="1:25" ht="15.75" customHeight="1" thickBot="1">
      <c r="A20" s="35" t="s">
        <v>35</v>
      </c>
      <c r="B20" s="56" t="s">
        <v>45</v>
      </c>
      <c r="C20" s="57"/>
      <c r="D20" s="68"/>
      <c r="E20" s="57"/>
      <c r="F20" s="57"/>
      <c r="G20" s="68"/>
      <c r="H20" s="57"/>
      <c r="I20" s="57"/>
      <c r="J20" s="76">
        <f aca="true" t="shared" si="6" ref="J20:W20">SUM(J8-J9)-J19</f>
        <v>2523.8880000000004</v>
      </c>
      <c r="K20" s="76">
        <f t="shared" si="6"/>
        <v>2320.986000000001</v>
      </c>
      <c r="L20" s="73">
        <f t="shared" si="6"/>
        <v>61.32799999999985</v>
      </c>
      <c r="M20" s="73">
        <f t="shared" si="6"/>
        <v>100.77800000000035</v>
      </c>
      <c r="N20" s="73">
        <f t="shared" si="6"/>
        <v>129.58800000000008</v>
      </c>
      <c r="O20" s="73">
        <f t="shared" si="6"/>
        <v>17.068000000000083</v>
      </c>
      <c r="P20" s="73">
        <f t="shared" si="6"/>
        <v>-28.281999999999826</v>
      </c>
      <c r="Q20" s="73">
        <f t="shared" si="6"/>
        <v>116.6880000000002</v>
      </c>
      <c r="R20" s="73">
        <f t="shared" si="6"/>
        <v>56.03800000000011</v>
      </c>
      <c r="S20" s="73">
        <f t="shared" si="6"/>
        <v>-265.1919999999999</v>
      </c>
      <c r="T20" s="73">
        <f t="shared" si="6"/>
        <v>146.73800000000017</v>
      </c>
      <c r="U20" s="73">
        <f t="shared" si="6"/>
        <v>-38.58199999999978</v>
      </c>
      <c r="V20" s="73">
        <f t="shared" si="6"/>
        <v>77.4380000000002</v>
      </c>
      <c r="W20" s="73">
        <f t="shared" si="6"/>
        <v>33.99800000000015</v>
      </c>
      <c r="X20" s="72">
        <f t="shared" si="2"/>
        <v>407.6060000000018</v>
      </c>
      <c r="Y20" s="58"/>
    </row>
    <row r="21" spans="1:25" ht="23.25" customHeight="1" thickBot="1">
      <c r="A21" s="77" t="s">
        <v>36</v>
      </c>
      <c r="B21" s="85" t="s">
        <v>21</v>
      </c>
      <c r="C21" s="86">
        <v>2006.74</v>
      </c>
      <c r="D21" s="87">
        <f>SUM(D8-D9)</f>
        <v>2983.029999999995</v>
      </c>
      <c r="E21" s="88">
        <f>SUM(E8-E9)</f>
        <v>-3364.4500000000007</v>
      </c>
      <c r="F21" s="88">
        <f>SUM(F8-F9)</f>
        <v>845.4599999999991</v>
      </c>
      <c r="G21" s="89">
        <f aca="true" t="shared" si="7" ref="G21:L21">SUM(G8-G9)-G19</f>
        <v>178.75199999999768</v>
      </c>
      <c r="H21" s="90">
        <f t="shared" si="7"/>
        <v>7733.461999999999</v>
      </c>
      <c r="I21" s="90">
        <f t="shared" si="7"/>
        <v>2111.803000000002</v>
      </c>
      <c r="J21" s="91">
        <f t="shared" si="7"/>
        <v>2523.8880000000004</v>
      </c>
      <c r="K21" s="91">
        <f t="shared" si="7"/>
        <v>2320.986000000001</v>
      </c>
      <c r="L21" s="92">
        <f t="shared" si="7"/>
        <v>61.32799999999985</v>
      </c>
      <c r="M21" s="93">
        <f>SUM(M20+L21)</f>
        <v>162.1060000000002</v>
      </c>
      <c r="N21" s="93">
        <f aca="true" t="shared" si="8" ref="N21:W21">SUM(N20+M21)</f>
        <v>291.6940000000003</v>
      </c>
      <c r="O21" s="93">
        <f t="shared" si="8"/>
        <v>308.7620000000004</v>
      </c>
      <c r="P21" s="93">
        <f t="shared" si="8"/>
        <v>280.4800000000006</v>
      </c>
      <c r="Q21" s="93">
        <f t="shared" si="8"/>
        <v>397.1680000000008</v>
      </c>
      <c r="R21" s="93">
        <f t="shared" si="8"/>
        <v>453.2060000000009</v>
      </c>
      <c r="S21" s="93">
        <f t="shared" si="8"/>
        <v>188.01400000000103</v>
      </c>
      <c r="T21" s="93">
        <f t="shared" si="8"/>
        <v>334.7520000000012</v>
      </c>
      <c r="U21" s="93">
        <f t="shared" si="8"/>
        <v>296.17000000000144</v>
      </c>
      <c r="V21" s="93">
        <f t="shared" si="8"/>
        <v>373.60800000000165</v>
      </c>
      <c r="W21" s="93">
        <f t="shared" si="8"/>
        <v>407.6060000000018</v>
      </c>
      <c r="X21" s="88"/>
      <c r="Y21" s="94"/>
    </row>
    <row r="22" spans="1:25" ht="23.25" customHeight="1" thickBot="1">
      <c r="A22" s="35" t="s">
        <v>37</v>
      </c>
      <c r="B22" s="38" t="s">
        <v>22</v>
      </c>
      <c r="C22" s="38">
        <v>2006.74</v>
      </c>
      <c r="D22" s="18">
        <f>SUM(D8-D9,C22)</f>
        <v>4989.769999999995</v>
      </c>
      <c r="E22" s="51">
        <f>SUM(E8-E9,D22)</f>
        <v>1625.3199999999943</v>
      </c>
      <c r="F22" s="51">
        <f>SUM(F8-F9,E22)</f>
        <v>2470.7799999999934</v>
      </c>
      <c r="G22" s="75">
        <f aca="true" t="shared" si="9" ref="G22:L22">SUM(G21+F22)</f>
        <v>2649.531999999991</v>
      </c>
      <c r="H22" s="72">
        <f t="shared" si="9"/>
        <v>10382.99399999999</v>
      </c>
      <c r="I22" s="72">
        <f t="shared" si="9"/>
        <v>12494.796999999991</v>
      </c>
      <c r="J22" s="72">
        <f t="shared" si="9"/>
        <v>15018.684999999992</v>
      </c>
      <c r="K22" s="72">
        <f t="shared" si="9"/>
        <v>17339.670999999995</v>
      </c>
      <c r="L22" s="72">
        <f t="shared" si="9"/>
        <v>17400.998999999996</v>
      </c>
      <c r="M22" s="74">
        <f>SUM(M20+L22)</f>
        <v>17501.777</v>
      </c>
      <c r="N22" s="74">
        <f aca="true" t="shared" si="10" ref="N22:V22">SUM(N20+M22)</f>
        <v>17631.364999999998</v>
      </c>
      <c r="O22" s="74">
        <f t="shared" si="10"/>
        <v>17648.432999999997</v>
      </c>
      <c r="P22" s="74">
        <f t="shared" si="10"/>
        <v>17620.150999999998</v>
      </c>
      <c r="Q22" s="74">
        <f t="shared" si="10"/>
        <v>17736.839</v>
      </c>
      <c r="R22" s="74">
        <f t="shared" si="10"/>
        <v>17792.877</v>
      </c>
      <c r="S22" s="74">
        <f t="shared" si="10"/>
        <v>17527.685</v>
      </c>
      <c r="T22" s="74">
        <f t="shared" si="10"/>
        <v>17674.423000000003</v>
      </c>
      <c r="U22" s="74">
        <f t="shared" si="10"/>
        <v>17635.841000000004</v>
      </c>
      <c r="V22" s="74">
        <f t="shared" si="10"/>
        <v>17713.279000000006</v>
      </c>
      <c r="W22" s="74">
        <f>SUM(W20+V22)</f>
        <v>17747.277000000006</v>
      </c>
      <c r="X22" s="51"/>
      <c r="Y22" s="45"/>
    </row>
    <row r="23" spans="1:25" ht="9" customHeight="1" hidden="1" thickBot="1">
      <c r="A23" s="35" t="s">
        <v>37</v>
      </c>
      <c r="B23" s="38" t="s">
        <v>6</v>
      </c>
      <c r="C23" s="39"/>
      <c r="D23" s="39"/>
      <c r="E23" s="61"/>
      <c r="F23" s="61"/>
      <c r="G23" s="61"/>
      <c r="H23" s="61"/>
      <c r="I23" s="61"/>
      <c r="J23" s="61"/>
      <c r="K23" s="61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0"/>
      <c r="X23" s="51"/>
      <c r="Y23" s="46"/>
    </row>
    <row r="24" spans="1:25" ht="15" customHeight="1" hidden="1" thickBot="1">
      <c r="A24" s="35" t="s">
        <v>38</v>
      </c>
      <c r="B24" s="32" t="s">
        <v>23</v>
      </c>
      <c r="C24" s="39"/>
      <c r="D24" s="39"/>
      <c r="E24" s="61"/>
      <c r="F24" s="61"/>
      <c r="G24" s="61"/>
      <c r="H24" s="61"/>
      <c r="I24" s="61"/>
      <c r="J24" s="61"/>
      <c r="K24" s="61"/>
      <c r="L24" s="13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20"/>
      <c r="X24" s="52"/>
      <c r="Y24" s="47"/>
    </row>
    <row r="25" spans="1:25" ht="24" customHeight="1" hidden="1" thickBot="1">
      <c r="A25" s="36" t="s">
        <v>39</v>
      </c>
      <c r="B25" s="33" t="s">
        <v>42</v>
      </c>
      <c r="C25" s="40"/>
      <c r="D25" s="40"/>
      <c r="E25" s="62"/>
      <c r="F25" s="62"/>
      <c r="G25" s="62"/>
      <c r="H25" s="62"/>
      <c r="I25" s="62"/>
      <c r="J25" s="62"/>
      <c r="K25" s="62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5">
        <f>SUM(W21-W23)</f>
        <v>407.6060000000018</v>
      </c>
      <c r="X25" s="53"/>
      <c r="Y25" s="48"/>
    </row>
    <row r="26" spans="1:25" ht="24" customHeight="1" hidden="1" thickBot="1">
      <c r="A26" s="36" t="s">
        <v>41</v>
      </c>
      <c r="B26" s="33" t="s">
        <v>24</v>
      </c>
      <c r="C26" s="40"/>
      <c r="D26" s="40"/>
      <c r="E26" s="62"/>
      <c r="F26" s="62"/>
      <c r="G26" s="62"/>
      <c r="H26" s="62"/>
      <c r="I26" s="62"/>
      <c r="J26" s="62"/>
      <c r="K26" s="62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>
        <f>SUM(W22-W23)</f>
        <v>17747.277000000006</v>
      </c>
      <c r="X26" s="53"/>
      <c r="Y26" s="48"/>
    </row>
    <row r="27" spans="3:25" ht="24" customHeight="1" hidden="1"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/>
    </row>
    <row r="29" ht="12.75" hidden="1"/>
    <row r="30" ht="12.75" hidden="1"/>
    <row r="31" ht="12.75" hidden="1"/>
    <row r="32" ht="12.75">
      <c r="B32" t="s">
        <v>59</v>
      </c>
    </row>
    <row r="36" ht="12.75" customHeight="1"/>
    <row r="37" ht="12.75" customHeight="1"/>
  </sheetData>
  <sheetProtection/>
  <mergeCells count="5">
    <mergeCell ref="B4:Y4"/>
    <mergeCell ref="B5:Y5"/>
    <mergeCell ref="B3:Y3"/>
    <mergeCell ref="B1:N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2020-02-21T06:30:57Z</cp:lastPrinted>
  <dcterms:created xsi:type="dcterms:W3CDTF">2011-06-16T11:06:26Z</dcterms:created>
  <dcterms:modified xsi:type="dcterms:W3CDTF">2020-02-21T06:30:59Z</dcterms:modified>
  <cp:category/>
  <cp:version/>
  <cp:contentType/>
  <cp:contentStatus/>
</cp:coreProperties>
</file>