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<sst xmlns="http://schemas.openxmlformats.org/spreadsheetml/2006/main" count="79" uniqueCount="79">
  <si>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</si>
  <si>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</si>
  <si>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</si>
  <si>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</si>
  <si>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</si>
  <si>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</si>
  <si>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</si>
  <si>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</si>
  <si>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</si>
  <si>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</si>
  <si>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</si>
  <si>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</si>
  <si>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</si>
  <si>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</si>
  <si>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</si>
  <si>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</si>
  <si>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</si>
  <si>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</si>
  <si>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</si>
  <si>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</si>
  <si>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</si>
  <si>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</si>
  <si>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</si>
  <si>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</si>
  <si>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</si>
  <si>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</si>
  <si>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</si>
  <si>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</si>
  <si>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</si>
  <si>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</si>
  <si>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</si>
  <si>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</si>
  <si>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</si>
  <si>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</si>
  <si>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</si>
  <si>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</si>
  <si>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</si>
  <si>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</si>
  <si>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</si>
  <si>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</si>
  <si>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</si>
  <si>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</si>
  <si>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</si>
  <si>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</si>
  <si>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по жилому дому г. Унеча  пер.Крупской д.11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</si>
  <si>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</si>
  <si>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</si>
  <si>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</si>
  <si>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</si>
  <si>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</si>
  <si>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</si>
  <si>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</si>
  <si>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</si>
  <si>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</si>
  <si>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</si>
  <si>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</si>
  <si>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</si>
  <si>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</si>
  <si>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>4.15</t>
  </si>
  <si>
    <t>Дом по пер.Крупской д.11 вступил в ООО "Наш дом" с  октября 2009 года                              тариф 8,3 руб.</t>
  </si>
  <si>
    <t xml:space="preserve">Материалы </t>
  </si>
  <si>
    <t>Итого за 2013 г</t>
  </si>
  <si>
    <t>Итого за 2014 г</t>
  </si>
  <si>
    <t>рентабельность 5%</t>
  </si>
  <si>
    <t>Дератизация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</si>
  <si>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</si>
  <si>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</si>
  <si>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</si>
  <si>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</si>
  <si>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</si>
  <si>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</si>
  <si>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</si>
  <si>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</si>
  <si>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</si>
  <si>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 СОИД</t>
  </si>
  <si>
    <t>Холодная вода СОИД</t>
  </si>
  <si>
    <t>Канализация СОИД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</si>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</sst>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21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wrapText="1"/>
    </xf>
    <xf numFmtId="0" fontId="21" fillId="0" borderId="25" xfId="0" applyFont="1" applyBorder="1" applyAlignment="1">
      <alignment horizontal="left" wrapText="1"/>
    </xf>
    <xf numFmtId="49" fontId="21" fillId="0" borderId="24" xfId="0" applyNumberFormat="1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3" fillId="0" borderId="18" xfId="0" applyFont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0" fontId="21" fillId="2" borderId="22" xfId="0" applyFont="1" applyFill="1" applyBorder="1" applyAlignment="1">
      <alignment wrapText="1"/>
    </xf>
    <xf numFmtId="0" fontId="23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2" fontId="21" fillId="0" borderId="33" xfId="0" applyNumberFormat="1" applyFont="1" applyBorder="1" applyAlignment="1">
      <alignment wrapText="1"/>
    </xf>
    <xf numFmtId="2" fontId="21" fillId="0" borderId="29" xfId="0" applyNumberFormat="1" applyFont="1" applyBorder="1" applyAlignment="1">
      <alignment wrapText="1"/>
    </xf>
    <xf numFmtId="2" fontId="21" fillId="0" borderId="30" xfId="0" applyNumberFormat="1" applyFont="1" applyBorder="1" applyAlignment="1">
      <alignment wrapText="1"/>
    </xf>
    <xf numFmtId="2" fontId="21" fillId="0" borderId="29" xfId="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25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2" borderId="23" xfId="0" applyFill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0" fillId="2" borderId="32" xfId="0" applyFont="1" applyFill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25" fillId="0" borderId="34" xfId="0" applyFont="1" applyBorder="1" applyAlignment="1">
      <alignment/>
    </xf>
    <xf numFmtId="0" fontId="21" fillId="0" borderId="28" xfId="0" applyFont="1" applyBorder="1" applyAlignment="1">
      <alignment/>
    </xf>
    <xf numFmtId="49" fontId="0" fillId="0" borderId="32" xfId="0" applyNumberFormat="1" applyBorder="1" applyAlignment="1">
      <alignment horizontal="center"/>
    </xf>
    <xf numFmtId="0" fontId="25" fillId="0" borderId="31" xfId="0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34" xfId="0" applyFont="1" applyBorder="1" applyAlignment="1">
      <alignment wrapText="1"/>
    </xf>
    <xf numFmtId="2" fontId="21" fillId="0" borderId="22" xfId="0" applyNumberFormat="1" applyFont="1" applyBorder="1" applyAlignment="1">
      <alignment horizontal="right" wrapText="1"/>
    </xf>
    <xf numFmtId="2" fontId="21" fillId="0" borderId="22" xfId="0" applyNumberFormat="1" applyFont="1" applyBorder="1" applyAlignment="1">
      <alignment wrapText="1"/>
    </xf>
    <xf numFmtId="2" fontId="21" fillId="0" borderId="35" xfId="0" applyNumberFormat="1" applyFont="1" applyBorder="1" applyAlignment="1">
      <alignment wrapText="1"/>
    </xf>
    <xf numFmtId="2" fontId="21" fillId="0" borderId="36" xfId="0" applyNumberFormat="1" applyFont="1" applyBorder="1" applyAlignment="1">
      <alignment wrapText="1"/>
    </xf>
    <xf numFmtId="2" fontId="21" fillId="0" borderId="37" xfId="0" applyNumberFormat="1" applyFont="1" applyBorder="1" applyAlignment="1">
      <alignment wrapText="1"/>
    </xf>
    <xf numFmtId="0" fontId="19" fillId="0" borderId="38" xfId="0" applyFont="1" applyBorder="1" applyAlignment="1">
      <alignment horizontal="center" vertical="center" wrapText="1"/>
    </xf>
    <xf numFmtId="0" fontId="20" fillId="2" borderId="14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6" fillId="0" borderId="35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2" fontId="21" fillId="0" borderId="27" xfId="0" applyNumberFormat="1" applyFont="1" applyBorder="1" applyAlignment="1">
      <alignment wrapText="1"/>
    </xf>
    <xf numFmtId="2" fontId="21" fillId="0" borderId="31" xfId="0" applyNumberFormat="1" applyFont="1" applyBorder="1" applyAlignment="1">
      <alignment wrapText="1"/>
    </xf>
    <xf numFmtId="2" fontId="21" fillId="0" borderId="32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2" fontId="21" fillId="0" borderId="31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3" xfId="0" applyFont="1" applyBorder="1" applyAlignment="1">
      <alignment/>
    </xf>
    <xf numFmtId="2" fontId="27" fillId="0" borderId="23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1" xfId="0" applyFont="1" applyBorder="1" applyAlignment="1">
      <alignment/>
    </xf>
    <xf numFmtId="0" fontId="26" fillId="0" borderId="33" xfId="0" applyFont="1" applyBorder="1" applyAlignment="1">
      <alignment wrapText="1"/>
    </xf>
    <xf numFmtId="2" fontId="21" fillId="0" borderId="32" xfId="0" applyNumberFormat="1" applyFont="1" applyBorder="1" applyAlignment="1">
      <alignment/>
    </xf>
    <xf numFmtId="2" fontId="21" fillId="0" borderId="23" xfId="0" applyNumberFormat="1" applyFont="1" applyBorder="1" applyAlignment="1">
      <alignment wrapText="1"/>
    </xf>
    <xf numFmtId="0" fontId="21" fillId="0" borderId="23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19" fillId="0" borderId="23" xfId="0" applyFont="1" applyBorder="1" applyAlignment="1">
      <alignment wrapText="1"/>
    </xf>
    <xf numFmtId="0" fontId="28" fillId="0" borderId="18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42" xfId="0" applyFont="1" applyBorder="1" applyAlignment="1">
      <alignment/>
    </xf>
    <xf numFmtId="0" fontId="29" fillId="0" borderId="23" xfId="0" applyFont="1" applyBorder="1" applyAlignment="1">
      <alignment/>
    </xf>
    <xf numFmtId="0" fontId="22" fillId="0" borderId="0" xfId="0" applyFont="1" applyAlignment="1">
      <alignment/>
    </xf>
    <xf numFmtId="0" fontId="28" fillId="0" borderId="43" xfId="0" applyFont="1" applyBorder="1" applyAlignment="1">
      <alignment wrapText="1"/>
    </xf>
    <xf numFmtId="0" fontId="28" fillId="0" borderId="23" xfId="0" applyFont="1" applyBorder="1" applyAlignment="1">
      <alignment/>
    </xf>
    <xf numFmtId="2" fontId="28" fillId="0" borderId="31" xfId="0" applyNumberFormat="1" applyFont="1" applyBorder="1" applyAlignment="1">
      <alignment/>
    </xf>
    <xf numFmtId="2" fontId="28" fillId="0" borderId="18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7">
      <selection activeCell="U26" sqref="U26"/>
    </sheetView>
  </sheetViews>
  <sheetFormatPr defaultColWidth="9.00390625" defaultRowHeight="12.75"/>
  <cols>
    <col min="1" max="1" width="4.25390625" style="21" customWidth="1"/>
    <col min="2" max="2" width="20.375" style="0" customWidth="1"/>
    <col min="3" max="3" width="8.125" style="0" hidden="1" customWidth="1"/>
    <col min="4" max="4" width="8.25390625" style="0" hidden="1" customWidth="1"/>
    <col min="5" max="5" width="7.75390625" style="0" hidden="1" customWidth="1"/>
    <col min="6" max="7" width="8.125" style="0" hidden="1" customWidth="1"/>
    <col min="8" max="8" width="7.875" style="0" hidden="1" customWidth="1"/>
    <col min="9" max="10" width="8.375" style="0" hidden="1" customWidth="1"/>
    <col min="11" max="11" width="9.00390625" style="0" hidden="1" customWidth="1"/>
    <col min="12" max="12" width="8.75390625" style="0" customWidth="1"/>
    <col min="13" max="13" width="8.25390625" style="0" customWidth="1"/>
    <col min="14" max="14" width="9.25390625" style="0" customWidth="1"/>
    <col min="15" max="15" width="8.25390625" style="0" customWidth="1"/>
    <col min="16" max="16" width="7.875" style="0" customWidth="1"/>
    <col min="17" max="17" width="8.25390625" style="0" customWidth="1"/>
    <col min="18" max="18" width="9.00390625" style="0" customWidth="1"/>
    <col min="19" max="20" width="8.625" style="0" customWidth="1"/>
    <col min="21" max="21" width="7.875" style="0" customWidth="1"/>
    <col min="22" max="22" width="8.375" style="0" customWidth="1"/>
    <col min="23" max="23" width="8.25390625" style="0" customWidth="1"/>
    <col min="24" max="24" width="8.875" style="0" customWidth="1"/>
    <col min="25" max="25" width="9.625" style="0" customWidth="1"/>
  </cols>
  <sheetData>
    <row r="1" spans="2:30" ht="12.75" customHeight="1">
      <c r="B1" s="105" t="s">
        <v>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34"/>
      <c r="Y2" s="4"/>
      <c r="Z2" s="4"/>
      <c r="AA2" s="4"/>
      <c r="AB2" s="4"/>
      <c r="AC2" s="4"/>
      <c r="AD2" s="4"/>
    </row>
    <row r="3" spans="2:30" ht="15" customHeight="1" hidden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"/>
      <c r="Z3" s="4"/>
      <c r="AA3" s="4"/>
      <c r="AB3" s="4"/>
      <c r="AC3" s="4"/>
      <c r="AD3" s="4"/>
    </row>
    <row r="4" spans="2:30" ht="12.75" customHeight="1">
      <c r="B4" s="104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3"/>
      <c r="AA4" s="3"/>
      <c r="AB4" s="3"/>
      <c r="AC4" s="3"/>
      <c r="AD4" s="3"/>
    </row>
    <row r="5" spans="2:30" ht="11.25" customHeight="1">
      <c r="B5" s="103" t="s">
        <v>10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2"/>
      <c r="AA5" s="2"/>
      <c r="AB5" s="2"/>
      <c r="AC5" s="2"/>
      <c r="AD5" s="2"/>
    </row>
    <row r="6" spans="2:30" ht="14.25" customHeight="1">
      <c r="B6" s="103" t="s">
        <v>44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2"/>
      <c r="AA6" s="2"/>
      <c r="AB6" s="2"/>
      <c r="AC6" s="2"/>
      <c r="AD6" s="2"/>
    </row>
    <row r="7" spans="2:30" ht="0.7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2"/>
      <c r="AD7" s="2"/>
    </row>
    <row r="8" spans="1:30" ht="30.75" customHeight="1" thickBot="1">
      <c r="A8" s="31" t="s">
        <v>27</v>
      </c>
      <c r="B8" s="22" t="s">
        <v>6</v>
      </c>
      <c r="C8" s="35" t="s">
        <v>45</v>
      </c>
      <c r="D8" s="38" t="s">
        <v>46</v>
      </c>
      <c r="E8" s="49" t="s">
        <v>49</v>
      </c>
      <c r="F8" s="49" t="s">
        <v>53</v>
      </c>
      <c r="G8" s="49" t="s">
        <v>61</v>
      </c>
      <c r="H8" s="49" t="s">
        <v>62</v>
      </c>
      <c r="I8" s="49" t="s">
        <v>65</v>
      </c>
      <c r="J8" s="49" t="s">
        <v>71</v>
      </c>
      <c r="K8" s="49" t="s">
        <v>72</v>
      </c>
      <c r="L8" s="67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22</v>
      </c>
      <c r="W8" s="10" t="s">
        <v>21</v>
      </c>
      <c r="X8" s="49" t="s">
        <v>77</v>
      </c>
      <c r="Y8" s="53" t="s">
        <v>78</v>
      </c>
      <c r="Z8" s="1"/>
      <c r="AA8" s="1"/>
      <c r="AB8" s="1"/>
      <c r="AC8" s="1"/>
      <c r="AD8" s="1"/>
    </row>
    <row r="9" spans="1:25" ht="13.5" thickBot="1">
      <c r="A9" s="32" t="s">
        <v>28</v>
      </c>
      <c r="B9" s="23" t="s">
        <v>1</v>
      </c>
      <c r="C9" s="70">
        <v>11486.37</v>
      </c>
      <c r="D9" s="71">
        <v>45945.48</v>
      </c>
      <c r="E9" s="70">
        <v>45967.89</v>
      </c>
      <c r="F9" s="71">
        <v>45953.78</v>
      </c>
      <c r="G9" s="71">
        <v>45930.54</v>
      </c>
      <c r="H9" s="87">
        <v>45954.61</v>
      </c>
      <c r="I9" s="71">
        <v>45945.48</v>
      </c>
      <c r="J9" s="71">
        <v>45945.48</v>
      </c>
      <c r="K9" s="71">
        <v>45945.48</v>
      </c>
      <c r="L9" s="72">
        <v>3828.79</v>
      </c>
      <c r="M9" s="6">
        <v>3828.79</v>
      </c>
      <c r="N9" s="6">
        <v>3828.79</v>
      </c>
      <c r="O9" s="6">
        <v>3828.79</v>
      </c>
      <c r="P9" s="6">
        <v>3828.79</v>
      </c>
      <c r="Q9" s="6">
        <v>3828.79</v>
      </c>
      <c r="R9" s="6">
        <v>3828.79</v>
      </c>
      <c r="S9" s="6">
        <v>3828.79</v>
      </c>
      <c r="T9" s="6">
        <v>3828.79</v>
      </c>
      <c r="U9" s="6">
        <v>3828.79</v>
      </c>
      <c r="V9" s="6">
        <v>3828.79</v>
      </c>
      <c r="W9" s="6">
        <v>3828.79</v>
      </c>
      <c r="X9" s="55">
        <f>SUM(L9:W9)</f>
        <v>45945.48</v>
      </c>
      <c r="Y9" s="82">
        <f aca="true" t="shared" si="0" ref="Y9:Y15">SUM(C9:W9)</f>
        <v>425020.58999999973</v>
      </c>
    </row>
    <row r="10" spans="1:25" ht="13.5" thickBot="1">
      <c r="A10" s="32"/>
      <c r="B10" s="23" t="s">
        <v>73</v>
      </c>
      <c r="C10" s="70"/>
      <c r="D10" s="87"/>
      <c r="E10" s="70"/>
      <c r="F10" s="87"/>
      <c r="G10" s="87"/>
      <c r="H10" s="87"/>
      <c r="I10" s="87"/>
      <c r="J10" s="87">
        <v>0</v>
      </c>
      <c r="K10" s="87">
        <v>3658.41</v>
      </c>
      <c r="L10" s="72">
        <f aca="true" t="shared" si="1" ref="L10:Q10">228.13+31.56+27.88</f>
        <v>287.57</v>
      </c>
      <c r="M10" s="6">
        <f t="shared" si="1"/>
        <v>287.57</v>
      </c>
      <c r="N10" s="6">
        <f t="shared" si="1"/>
        <v>287.57</v>
      </c>
      <c r="O10" s="6">
        <f t="shared" si="1"/>
        <v>287.57</v>
      </c>
      <c r="P10" s="6">
        <f t="shared" si="1"/>
        <v>287.57</v>
      </c>
      <c r="Q10" s="6">
        <f t="shared" si="1"/>
        <v>287.57</v>
      </c>
      <c r="R10" s="6">
        <f>239.45+31.77+28.11</f>
        <v>299.33</v>
      </c>
      <c r="S10" s="6">
        <f>31.77+28.11</f>
        <v>59.879999999999995</v>
      </c>
      <c r="T10" s="6">
        <f>31.77+28.11</f>
        <v>59.879999999999995</v>
      </c>
      <c r="U10" s="6">
        <f>31.77+28.11</f>
        <v>59.879999999999995</v>
      </c>
      <c r="V10" s="6">
        <f>31.77+28.11</f>
        <v>59.879999999999995</v>
      </c>
      <c r="W10" s="6">
        <f>31.77+28.11</f>
        <v>59.879999999999995</v>
      </c>
      <c r="X10" s="55">
        <f>SUM(L10:W10)</f>
        <v>2324.15</v>
      </c>
      <c r="Y10" s="82">
        <f t="shared" si="0"/>
        <v>5982.5599999999995</v>
      </c>
    </row>
    <row r="11" spans="1:25" s="97" customFormat="1" ht="13.5" thickBot="1">
      <c r="A11" s="91" t="s">
        <v>29</v>
      </c>
      <c r="B11" s="92" t="s">
        <v>2</v>
      </c>
      <c r="C11" s="93">
        <f aca="true" t="shared" si="2" ref="C11:L11">SUM(C12:C26)</f>
        <v>8928.410000000002</v>
      </c>
      <c r="D11" s="94">
        <f t="shared" si="2"/>
        <v>39358.46999999999</v>
      </c>
      <c r="E11" s="93">
        <f t="shared" si="2"/>
        <v>54230.55</v>
      </c>
      <c r="F11" s="94">
        <f t="shared" si="2"/>
        <v>57160.56</v>
      </c>
      <c r="G11" s="94">
        <f t="shared" si="2"/>
        <v>56923.72</v>
      </c>
      <c r="H11" s="94">
        <f>SUM(H12:H26)</f>
        <v>48484.200000000004</v>
      </c>
      <c r="I11" s="94">
        <f>SUM(I12:I26)</f>
        <v>46936.50000000001</v>
      </c>
      <c r="J11" s="94">
        <f>SUM(J12:J26)</f>
        <v>46078.17</v>
      </c>
      <c r="K11" s="94">
        <f>SUM(K12:K26)</f>
        <v>46372.69</v>
      </c>
      <c r="L11" s="95">
        <f t="shared" si="2"/>
        <v>3957.3500000000004</v>
      </c>
      <c r="M11" s="95">
        <f aca="true" t="shared" si="3" ref="M11:W11">SUM(M12:M26)</f>
        <v>3874.1000000000004</v>
      </c>
      <c r="N11" s="95">
        <f t="shared" si="3"/>
        <v>4285.08</v>
      </c>
      <c r="O11" s="95">
        <f t="shared" si="3"/>
        <v>3822.7799999999997</v>
      </c>
      <c r="P11" s="95">
        <f t="shared" si="3"/>
        <v>3832.3</v>
      </c>
      <c r="Q11" s="95">
        <f t="shared" si="3"/>
        <v>3681.33</v>
      </c>
      <c r="R11" s="95">
        <f t="shared" si="3"/>
        <v>4501.039999999999</v>
      </c>
      <c r="S11" s="95">
        <f t="shared" si="3"/>
        <v>9930.789999999999</v>
      </c>
      <c r="T11" s="95">
        <f t="shared" si="3"/>
        <v>3451.25</v>
      </c>
      <c r="U11" s="95">
        <f t="shared" si="3"/>
        <v>3678.3</v>
      </c>
      <c r="V11" s="95">
        <f t="shared" si="3"/>
        <v>3646.91</v>
      </c>
      <c r="W11" s="93">
        <f t="shared" si="3"/>
        <v>3766.7900000000004</v>
      </c>
      <c r="X11" s="94">
        <f>SUM(L11:W11)</f>
        <v>52428.02000000001</v>
      </c>
      <c r="Y11" s="96">
        <f t="shared" si="0"/>
        <v>456901.28999999986</v>
      </c>
    </row>
    <row r="12" spans="1:25" ht="13.5" thickBot="1">
      <c r="A12" s="32" t="s">
        <v>30</v>
      </c>
      <c r="B12" s="25" t="s">
        <v>4</v>
      </c>
      <c r="C12" s="58">
        <v>3625.32</v>
      </c>
      <c r="D12" s="41">
        <v>7271.7</v>
      </c>
      <c r="E12" s="64">
        <v>10179.25</v>
      </c>
      <c r="F12" s="41">
        <v>13230.62</v>
      </c>
      <c r="G12" s="41">
        <v>15709.34</v>
      </c>
      <c r="H12" s="41">
        <v>15339.55</v>
      </c>
      <c r="I12" s="41">
        <v>15776.79</v>
      </c>
      <c r="J12" s="41">
        <v>15834.55</v>
      </c>
      <c r="K12" s="41">
        <v>16148.25</v>
      </c>
      <c r="L12" s="73">
        <f>1325+51.41</f>
        <v>1376.41</v>
      </c>
      <c r="M12" s="6">
        <f>1278+58.48</f>
        <v>1336.48</v>
      </c>
      <c r="N12" s="6">
        <f>1378+41.53</f>
        <v>1419.53</v>
      </c>
      <c r="O12" s="6">
        <f>1378+116.99</f>
        <v>1494.99</v>
      </c>
      <c r="P12" s="6">
        <f>1325+100</f>
        <v>1425</v>
      </c>
      <c r="Q12" s="6">
        <f>1325+108.26</f>
        <v>1433.26</v>
      </c>
      <c r="R12" s="6">
        <f>1325+92.38</f>
        <v>1417.38</v>
      </c>
      <c r="S12" s="6">
        <f>1325+116.79</f>
        <v>1441.79</v>
      </c>
      <c r="T12" s="6">
        <f>1325+86.81</f>
        <v>1411.81</v>
      </c>
      <c r="U12" s="6">
        <f>1325+70.44</f>
        <v>1395.44</v>
      </c>
      <c r="V12" s="6">
        <f>1325+81.77</f>
        <v>1406.77</v>
      </c>
      <c r="W12" s="11">
        <f>1325+75.16</f>
        <v>1400.16</v>
      </c>
      <c r="X12" s="50">
        <f>SUM(L12:W12)</f>
        <v>16959.02</v>
      </c>
      <c r="Y12" s="84">
        <f t="shared" si="0"/>
        <v>130074.39000000001</v>
      </c>
    </row>
    <row r="13" spans="1:25" ht="12" customHeight="1" thickBot="1">
      <c r="A13" s="32" t="s">
        <v>31</v>
      </c>
      <c r="B13" s="26" t="s">
        <v>66</v>
      </c>
      <c r="C13" s="59">
        <v>2974.13</v>
      </c>
      <c r="D13" s="42">
        <v>11615.57</v>
      </c>
      <c r="E13" s="65">
        <v>4947.19</v>
      </c>
      <c r="F13" s="42">
        <v>4478.65</v>
      </c>
      <c r="G13" s="42">
        <v>3171.02</v>
      </c>
      <c r="H13" s="42">
        <v>480</v>
      </c>
      <c r="I13" s="42">
        <v>1279</v>
      </c>
      <c r="J13" s="42">
        <v>41.84</v>
      </c>
      <c r="K13" s="42">
        <v>0</v>
      </c>
      <c r="L13" s="72"/>
      <c r="M13" s="7"/>
      <c r="N13" s="7"/>
      <c r="O13" s="7"/>
      <c r="P13" s="7"/>
      <c r="Q13" s="7"/>
      <c r="R13" s="7"/>
      <c r="S13" s="7"/>
      <c r="T13" s="7"/>
      <c r="U13" s="7"/>
      <c r="V13" s="7"/>
      <c r="W13" s="12"/>
      <c r="X13" s="50">
        <f>SUM(L13:W13)</f>
        <v>0</v>
      </c>
      <c r="Y13" s="84">
        <f t="shared" si="0"/>
        <v>28987.4</v>
      </c>
    </row>
    <row r="14" spans="1:25" ht="15" customHeight="1" thickBot="1">
      <c r="A14" s="32" t="s">
        <v>32</v>
      </c>
      <c r="B14" s="24" t="s">
        <v>5</v>
      </c>
      <c r="C14" s="59">
        <v>0</v>
      </c>
      <c r="D14" s="44">
        <v>1430.28</v>
      </c>
      <c r="E14" s="59">
        <v>0</v>
      </c>
      <c r="F14" s="44">
        <v>0</v>
      </c>
      <c r="G14" s="44">
        <v>3604.9</v>
      </c>
      <c r="H14" s="44"/>
      <c r="I14" s="44">
        <v>0</v>
      </c>
      <c r="J14" s="44">
        <v>4363.8</v>
      </c>
      <c r="K14" s="44">
        <v>0</v>
      </c>
      <c r="L14" s="72"/>
      <c r="M14" s="7"/>
      <c r="N14" s="7"/>
      <c r="O14" s="7"/>
      <c r="P14" s="7"/>
      <c r="Q14" s="7"/>
      <c r="R14" s="7"/>
      <c r="S14" s="7">
        <v>6433.7</v>
      </c>
      <c r="T14" s="7"/>
      <c r="U14" s="7"/>
      <c r="V14" s="7"/>
      <c r="W14" s="12"/>
      <c r="X14" s="50">
        <f aca="true" t="shared" si="4" ref="X14:X28">SUM(L14:W14)</f>
        <v>6433.7</v>
      </c>
      <c r="Y14" s="85">
        <f t="shared" si="0"/>
        <v>15832.68</v>
      </c>
    </row>
    <row r="15" spans="1:25" ht="21" customHeight="1" thickBot="1">
      <c r="A15" s="32" t="s">
        <v>33</v>
      </c>
      <c r="B15" s="24" t="s">
        <v>50</v>
      </c>
      <c r="C15" s="59">
        <v>0</v>
      </c>
      <c r="D15" s="44">
        <v>0</v>
      </c>
      <c r="E15" s="59">
        <v>578.39</v>
      </c>
      <c r="F15" s="44">
        <v>0</v>
      </c>
      <c r="G15" s="44">
        <v>0</v>
      </c>
      <c r="H15" s="44"/>
      <c r="I15" s="44">
        <v>600</v>
      </c>
      <c r="J15" s="44">
        <v>0</v>
      </c>
      <c r="K15" s="44">
        <v>500</v>
      </c>
      <c r="L15" s="72"/>
      <c r="M15" s="7"/>
      <c r="N15" s="7"/>
      <c r="O15" s="7"/>
      <c r="P15" s="7"/>
      <c r="Q15" s="7"/>
      <c r="R15" s="7"/>
      <c r="S15" s="7"/>
      <c r="T15" s="7"/>
      <c r="U15" s="7"/>
      <c r="V15" s="7"/>
      <c r="W15" s="12"/>
      <c r="X15" s="50">
        <f t="shared" si="4"/>
        <v>0</v>
      </c>
      <c r="Y15" s="86">
        <f t="shared" si="0"/>
        <v>1678.3899999999999</v>
      </c>
    </row>
    <row r="16" spans="1:25" ht="14.25" customHeight="1" thickBot="1">
      <c r="A16" s="32" t="s">
        <v>34</v>
      </c>
      <c r="B16" s="26" t="s">
        <v>60</v>
      </c>
      <c r="C16" s="59">
        <v>0</v>
      </c>
      <c r="D16" s="42">
        <v>1198.03</v>
      </c>
      <c r="E16" s="65">
        <v>6576</v>
      </c>
      <c r="F16" s="42">
        <v>4856.2</v>
      </c>
      <c r="G16" s="42">
        <v>1044.15</v>
      </c>
      <c r="H16" s="42">
        <v>448.2</v>
      </c>
      <c r="I16" s="42">
        <v>1800.45</v>
      </c>
      <c r="J16" s="42">
        <v>675.26</v>
      </c>
      <c r="K16" s="42">
        <v>95</v>
      </c>
      <c r="L16" s="72"/>
      <c r="M16" s="7"/>
      <c r="N16" s="7"/>
      <c r="O16" s="7"/>
      <c r="P16" s="7"/>
      <c r="Q16" s="7"/>
      <c r="R16" s="7">
        <v>672</v>
      </c>
      <c r="S16" s="7"/>
      <c r="T16" s="7"/>
      <c r="U16" s="7"/>
      <c r="V16" s="7"/>
      <c r="W16" s="12"/>
      <c r="X16" s="50">
        <f t="shared" si="4"/>
        <v>672</v>
      </c>
      <c r="Y16" s="83">
        <f aca="true" t="shared" si="5" ref="Y16:Y25">SUM(C16:W16)</f>
        <v>17365.29</v>
      </c>
    </row>
    <row r="17" spans="1:25" ht="27" customHeight="1" thickBot="1">
      <c r="A17" s="32" t="s">
        <v>35</v>
      </c>
      <c r="B17" s="26" t="s">
        <v>54</v>
      </c>
      <c r="C17" s="59">
        <v>0</v>
      </c>
      <c r="D17" s="42">
        <v>0</v>
      </c>
      <c r="E17" s="65">
        <v>0</v>
      </c>
      <c r="F17" s="42">
        <v>256</v>
      </c>
      <c r="G17" s="42">
        <v>0</v>
      </c>
      <c r="H17" s="42">
        <v>12.12</v>
      </c>
      <c r="I17" s="42">
        <v>52.96</v>
      </c>
      <c r="J17" s="42">
        <v>51</v>
      </c>
      <c r="K17" s="42">
        <v>398.31</v>
      </c>
      <c r="L17" s="72"/>
      <c r="M17" s="7">
        <v>78</v>
      </c>
      <c r="N17" s="7"/>
      <c r="O17" s="7"/>
      <c r="P17" s="7"/>
      <c r="Q17" s="7"/>
      <c r="R17" s="7"/>
      <c r="S17" s="7"/>
      <c r="T17" s="7"/>
      <c r="U17" s="7"/>
      <c r="V17" s="7"/>
      <c r="W17" s="12"/>
      <c r="X17" s="50">
        <f t="shared" si="4"/>
        <v>78</v>
      </c>
      <c r="Y17" s="85">
        <f t="shared" si="5"/>
        <v>848.39</v>
      </c>
    </row>
    <row r="18" spans="1:25" ht="14.25" customHeight="1" thickBot="1">
      <c r="A18" s="32" t="s">
        <v>36</v>
      </c>
      <c r="B18" s="26" t="s">
        <v>74</v>
      </c>
      <c r="C18" s="59">
        <v>847.74</v>
      </c>
      <c r="D18" s="42">
        <v>2123.59</v>
      </c>
      <c r="E18" s="65">
        <v>3915.99</v>
      </c>
      <c r="F18" s="42">
        <v>2336.99</v>
      </c>
      <c r="G18" s="42">
        <v>0</v>
      </c>
      <c r="H18" s="42"/>
      <c r="I18" s="42">
        <v>0</v>
      </c>
      <c r="J18" s="42">
        <v>0</v>
      </c>
      <c r="K18" s="42">
        <v>3162.49</v>
      </c>
      <c r="L18" s="72">
        <v>228.13</v>
      </c>
      <c r="M18" s="7">
        <v>228.13</v>
      </c>
      <c r="N18" s="7">
        <v>228.13</v>
      </c>
      <c r="O18" s="7">
        <v>228.13</v>
      </c>
      <c r="P18" s="7">
        <v>228.13</v>
      </c>
      <c r="Q18" s="7">
        <v>228.13</v>
      </c>
      <c r="R18" s="7">
        <v>239.45</v>
      </c>
      <c r="S18" s="7"/>
      <c r="T18" s="7"/>
      <c r="U18" s="7"/>
      <c r="V18" s="7"/>
      <c r="W18" s="12"/>
      <c r="X18" s="50">
        <f t="shared" si="4"/>
        <v>1608.2300000000002</v>
      </c>
      <c r="Y18" s="86">
        <f t="shared" si="5"/>
        <v>13995.029999999995</v>
      </c>
    </row>
    <row r="19" spans="1:25" ht="14.25" customHeight="1" thickBot="1">
      <c r="A19" s="32"/>
      <c r="B19" s="26" t="s">
        <v>75</v>
      </c>
      <c r="C19" s="59"/>
      <c r="D19" s="42"/>
      <c r="E19" s="65"/>
      <c r="F19" s="42"/>
      <c r="G19" s="42"/>
      <c r="H19" s="42"/>
      <c r="I19" s="42"/>
      <c r="J19" s="42"/>
      <c r="K19" s="42">
        <v>301.39</v>
      </c>
      <c r="L19" s="72">
        <v>31.57</v>
      </c>
      <c r="M19" s="7">
        <v>31.57</v>
      </c>
      <c r="N19" s="7">
        <v>31.57</v>
      </c>
      <c r="O19" s="7">
        <v>31.57</v>
      </c>
      <c r="P19" s="7">
        <v>31.57</v>
      </c>
      <c r="Q19" s="7">
        <v>31.57</v>
      </c>
      <c r="R19" s="7">
        <v>31.77</v>
      </c>
      <c r="S19" s="7">
        <v>31.77</v>
      </c>
      <c r="T19" s="7">
        <v>31.77</v>
      </c>
      <c r="U19" s="7">
        <v>31.77</v>
      </c>
      <c r="V19" s="7">
        <v>31.77</v>
      </c>
      <c r="W19" s="7">
        <v>31.77</v>
      </c>
      <c r="X19" s="50">
        <f>SUM(L19:W19)</f>
        <v>380.03999999999996</v>
      </c>
      <c r="Y19" s="86">
        <f>SUM(C19:W19)</f>
        <v>681.4299999999998</v>
      </c>
    </row>
    <row r="20" spans="1:25" ht="14.25" customHeight="1" thickBot="1">
      <c r="A20" s="32"/>
      <c r="B20" s="26" t="s">
        <v>76</v>
      </c>
      <c r="C20" s="59"/>
      <c r="D20" s="42"/>
      <c r="E20" s="65"/>
      <c r="F20" s="42"/>
      <c r="G20" s="42"/>
      <c r="H20" s="42"/>
      <c r="I20" s="42"/>
      <c r="J20" s="42"/>
      <c r="K20" s="42">
        <v>194.5</v>
      </c>
      <c r="L20" s="72">
        <v>27.88</v>
      </c>
      <c r="M20" s="7">
        <v>27.88</v>
      </c>
      <c r="N20" s="7">
        <v>27.88</v>
      </c>
      <c r="O20" s="7">
        <v>27.88</v>
      </c>
      <c r="P20" s="7">
        <v>27.88</v>
      </c>
      <c r="Q20" s="7">
        <v>27.88</v>
      </c>
      <c r="R20" s="7">
        <v>28.12</v>
      </c>
      <c r="S20" s="7">
        <v>28.12</v>
      </c>
      <c r="T20" s="7">
        <v>28.12</v>
      </c>
      <c r="U20" s="7">
        <v>28.12</v>
      </c>
      <c r="V20" s="7">
        <v>28.12</v>
      </c>
      <c r="W20" s="7">
        <v>28.12</v>
      </c>
      <c r="X20" s="50">
        <f>SUM(L20:W20)</f>
        <v>336</v>
      </c>
      <c r="Y20" s="86">
        <f>SUM(C20:W20)</f>
        <v>530.5</v>
      </c>
    </row>
    <row r="21" spans="1:25" ht="13.5" customHeight="1" thickBot="1">
      <c r="A21" s="32" t="s">
        <v>37</v>
      </c>
      <c r="B21" s="26" t="s">
        <v>64</v>
      </c>
      <c r="C21" s="59">
        <v>60.17</v>
      </c>
      <c r="D21" s="42">
        <v>754.76</v>
      </c>
      <c r="E21" s="65">
        <v>560.54</v>
      </c>
      <c r="F21" s="42">
        <v>429.59</v>
      </c>
      <c r="G21" s="42">
        <v>392.14</v>
      </c>
      <c r="H21" s="42"/>
      <c r="I21" s="42">
        <v>0</v>
      </c>
      <c r="J21" s="42">
        <v>0</v>
      </c>
      <c r="K21" s="42">
        <v>0</v>
      </c>
      <c r="L21" s="72"/>
      <c r="M21" s="7"/>
      <c r="N21" s="7"/>
      <c r="O21" s="7"/>
      <c r="P21" s="7"/>
      <c r="Q21" s="7"/>
      <c r="R21" s="7"/>
      <c r="S21" s="7"/>
      <c r="T21" s="7"/>
      <c r="U21" s="7"/>
      <c r="V21" s="7"/>
      <c r="W21" s="12"/>
      <c r="X21" s="50">
        <f t="shared" si="4"/>
        <v>0</v>
      </c>
      <c r="Y21" s="83">
        <f t="shared" si="5"/>
        <v>2197.2</v>
      </c>
    </row>
    <row r="22" spans="1:25" ht="32.25" customHeight="1" thickBot="1">
      <c r="A22" s="32" t="s">
        <v>38</v>
      </c>
      <c r="B22" s="26" t="s">
        <v>67</v>
      </c>
      <c r="C22" s="59">
        <v>0</v>
      </c>
      <c r="D22" s="42">
        <v>628.26</v>
      </c>
      <c r="E22" s="65">
        <v>2241.07</v>
      </c>
      <c r="F22" s="42">
        <v>3825.7</v>
      </c>
      <c r="G22" s="42">
        <v>3268.08</v>
      </c>
      <c r="H22" s="42">
        <v>1880.07</v>
      </c>
      <c r="I22" s="42">
        <v>2217</v>
      </c>
      <c r="J22" s="42">
        <v>2344.44</v>
      </c>
      <c r="K22" s="42">
        <v>2381.85</v>
      </c>
      <c r="L22" s="72">
        <f>207.75</f>
        <v>207.75</v>
      </c>
      <c r="M22" s="7">
        <v>190.59</v>
      </c>
      <c r="N22" s="7">
        <v>254.17</v>
      </c>
      <c r="O22" s="7">
        <v>198.2</v>
      </c>
      <c r="P22" s="7">
        <v>166.7</v>
      </c>
      <c r="Q22" s="7">
        <v>241.61</v>
      </c>
      <c r="R22" s="7">
        <v>196.54</v>
      </c>
      <c r="S22" s="7">
        <v>200.99</v>
      </c>
      <c r="T22" s="7">
        <v>165.19</v>
      </c>
      <c r="U22" s="7">
        <v>247.96</v>
      </c>
      <c r="V22" s="7">
        <v>219.22</v>
      </c>
      <c r="W22" s="12">
        <v>214.07</v>
      </c>
      <c r="X22" s="50">
        <f t="shared" si="4"/>
        <v>2502.99</v>
      </c>
      <c r="Y22" s="85">
        <f>SUM(C22:W22)</f>
        <v>21289.46</v>
      </c>
    </row>
    <row r="23" spans="1:25" ht="21.75" customHeight="1" thickBot="1">
      <c r="A23" s="32" t="s">
        <v>55</v>
      </c>
      <c r="B23" s="26" t="s">
        <v>68</v>
      </c>
      <c r="C23" s="59">
        <v>223.12</v>
      </c>
      <c r="D23" s="42">
        <v>1093.73</v>
      </c>
      <c r="E23" s="65">
        <v>1219.86</v>
      </c>
      <c r="F23" s="42">
        <v>418.09</v>
      </c>
      <c r="G23" s="42">
        <v>259.94</v>
      </c>
      <c r="H23" s="42">
        <v>565.58</v>
      </c>
      <c r="I23" s="42">
        <v>382.08</v>
      </c>
      <c r="J23" s="42">
        <v>333.5</v>
      </c>
      <c r="K23" s="42">
        <v>260.54</v>
      </c>
      <c r="L23" s="72">
        <v>20.53</v>
      </c>
      <c r="M23" s="7">
        <v>13.79</v>
      </c>
      <c r="N23" s="7">
        <v>9.79</v>
      </c>
      <c r="O23" s="7">
        <v>13.75</v>
      </c>
      <c r="P23" s="7">
        <v>12.77</v>
      </c>
      <c r="Q23" s="7">
        <v>15.23</v>
      </c>
      <c r="R23" s="7">
        <v>46.58</v>
      </c>
      <c r="S23" s="7">
        <v>11.93</v>
      </c>
      <c r="T23" s="7">
        <v>14.77</v>
      </c>
      <c r="U23" s="7">
        <v>12.79</v>
      </c>
      <c r="V23" s="7">
        <v>61.14</v>
      </c>
      <c r="W23" s="12">
        <v>19.44</v>
      </c>
      <c r="X23" s="50">
        <f t="shared" si="4"/>
        <v>252.51</v>
      </c>
      <c r="Y23" s="83">
        <f t="shared" si="5"/>
        <v>5008.950000000001</v>
      </c>
    </row>
    <row r="24" spans="1:25" ht="35.25" customHeight="1" thickBot="1">
      <c r="A24" s="32" t="s">
        <v>56</v>
      </c>
      <c r="B24" s="26" t="s">
        <v>69</v>
      </c>
      <c r="C24" s="59">
        <v>823.23</v>
      </c>
      <c r="D24" s="42">
        <v>1471.98</v>
      </c>
      <c r="E24" s="65">
        <v>1961.52</v>
      </c>
      <c r="F24" s="42">
        <v>2984.59</v>
      </c>
      <c r="G24" s="42">
        <v>2549.63</v>
      </c>
      <c r="H24" s="42">
        <v>2192.98</v>
      </c>
      <c r="I24" s="42">
        <v>2886.93</v>
      </c>
      <c r="J24" s="42">
        <v>2438.56</v>
      </c>
      <c r="K24" s="42">
        <v>2569.61</v>
      </c>
      <c r="L24" s="72">
        <f>10.28+73.5+113.54</f>
        <v>197.32</v>
      </c>
      <c r="M24" s="7">
        <f>107.8+11.26+99.43</f>
        <v>218.49</v>
      </c>
      <c r="N24" s="7">
        <f>109.19+11.16+107.91</f>
        <v>228.26</v>
      </c>
      <c r="O24" s="7">
        <f>115.02+11.31+84.06</f>
        <v>210.39</v>
      </c>
      <c r="P24" s="7">
        <f>139.45+10.17+65.6</f>
        <v>215.21999999999997</v>
      </c>
      <c r="Q24" s="7">
        <f>112+9.53+62.6</f>
        <v>184.13</v>
      </c>
      <c r="R24" s="7">
        <f>10.73+72.74+141.33</f>
        <v>224.8</v>
      </c>
      <c r="S24" s="7">
        <f>11.39+110.54+109.57</f>
        <v>231.5</v>
      </c>
      <c r="T24" s="7">
        <f>127.65+8.96+85.49</f>
        <v>222.10000000000002</v>
      </c>
      <c r="U24" s="7">
        <f>11.96+153.85+124.44</f>
        <v>290.25</v>
      </c>
      <c r="V24" s="7">
        <f>9.8+85.81+178.27</f>
        <v>273.88</v>
      </c>
      <c r="W24" s="12">
        <f>161.87+11.34+145.23</f>
        <v>318.44</v>
      </c>
      <c r="X24" s="50">
        <f t="shared" si="4"/>
        <v>2814.78</v>
      </c>
      <c r="Y24" s="85">
        <f t="shared" si="5"/>
        <v>22693.81</v>
      </c>
    </row>
    <row r="25" spans="1:25" ht="11.25" customHeight="1" thickBot="1">
      <c r="A25" s="32" t="s">
        <v>57</v>
      </c>
      <c r="B25" s="26" t="s">
        <v>9</v>
      </c>
      <c r="C25" s="59">
        <v>228.26</v>
      </c>
      <c r="D25" s="42">
        <v>10168.48</v>
      </c>
      <c r="E25" s="65">
        <v>18946.76</v>
      </c>
      <c r="F25" s="42">
        <v>22001.17</v>
      </c>
      <c r="G25" s="42">
        <v>24925.74</v>
      </c>
      <c r="H25" s="42">
        <v>25799.95</v>
      </c>
      <c r="I25" s="42">
        <v>20206.38</v>
      </c>
      <c r="J25" s="42">
        <v>18260.31</v>
      </c>
      <c r="K25" s="42">
        <v>18509.94</v>
      </c>
      <c r="L25" s="72">
        <f>4357.35-2233.8-400</f>
        <v>1723.5500000000002</v>
      </c>
      <c r="M25" s="7">
        <f>3874.1-2256.81</f>
        <v>1617.29</v>
      </c>
      <c r="N25" s="7">
        <f>4285.08-2388.58</f>
        <v>1896.5</v>
      </c>
      <c r="O25" s="7">
        <f>3822.78-2360.34</f>
        <v>1462.44</v>
      </c>
      <c r="P25" s="7">
        <f>3832.3-2331.68</f>
        <v>1500.6200000000003</v>
      </c>
      <c r="Q25" s="7">
        <f>3681.33-2301.88</f>
        <v>1379.4499999999998</v>
      </c>
      <c r="R25" s="7">
        <f>4501.04-2996.71</f>
        <v>1504.33</v>
      </c>
      <c r="S25" s="7">
        <f>9930.79-8520.27</f>
        <v>1410.5200000000004</v>
      </c>
      <c r="T25" s="7">
        <f>3251.25-2006.08+200</f>
        <v>1445.17</v>
      </c>
      <c r="U25" s="7">
        <f>3478.3-2191.2+200</f>
        <v>1487.1000000000004</v>
      </c>
      <c r="V25" s="7">
        <f>3646.91-2164.87</f>
        <v>1482.04</v>
      </c>
      <c r="W25" s="12">
        <f>3766.78-2144.32+0.01</f>
        <v>1622.47</v>
      </c>
      <c r="X25" s="50">
        <f t="shared" si="4"/>
        <v>18531.480000000003</v>
      </c>
      <c r="Y25" s="83">
        <f t="shared" si="5"/>
        <v>177578.47000000003</v>
      </c>
    </row>
    <row r="26" spans="1:25" ht="13.5" customHeight="1" thickBot="1">
      <c r="A26" s="32" t="s">
        <v>58</v>
      </c>
      <c r="B26" s="27" t="s">
        <v>3</v>
      </c>
      <c r="C26" s="60">
        <v>146.44</v>
      </c>
      <c r="D26" s="43">
        <v>1602.09</v>
      </c>
      <c r="E26" s="66">
        <v>3103.98</v>
      </c>
      <c r="F26" s="43">
        <v>2342.96</v>
      </c>
      <c r="G26" s="43">
        <v>1998.78</v>
      </c>
      <c r="H26" s="43">
        <v>1765.75</v>
      </c>
      <c r="I26" s="43">
        <v>1734.91</v>
      </c>
      <c r="J26" s="43">
        <v>1734.91</v>
      </c>
      <c r="K26" s="43">
        <v>1850.81</v>
      </c>
      <c r="L26" s="74">
        <f>10.07+134.14</f>
        <v>144.20999999999998</v>
      </c>
      <c r="M26" s="8">
        <f>9.21+122.67</f>
        <v>131.88</v>
      </c>
      <c r="N26" s="8">
        <f>13.22+176.03</f>
        <v>189.25</v>
      </c>
      <c r="O26" s="8">
        <f>10.86+144.57</f>
        <v>155.43</v>
      </c>
      <c r="P26" s="8">
        <f>15.68+208.73</f>
        <v>224.41</v>
      </c>
      <c r="Q26" s="8">
        <f>9.79+130.28</f>
        <v>140.07</v>
      </c>
      <c r="R26" s="8">
        <f>9.79+130.28</f>
        <v>140.07</v>
      </c>
      <c r="S26" s="8">
        <f>9.64+130.83</f>
        <v>140.47000000000003</v>
      </c>
      <c r="T26" s="8">
        <f>2.04+130.28</f>
        <v>132.32</v>
      </c>
      <c r="U26" s="8">
        <f>2.86+182.01</f>
        <v>184.87</v>
      </c>
      <c r="V26" s="8">
        <f>2.22+141.75</f>
        <v>143.97</v>
      </c>
      <c r="W26" s="14">
        <f>2.04+130.28</f>
        <v>132.32</v>
      </c>
      <c r="X26" s="50">
        <f t="shared" si="4"/>
        <v>1859.27</v>
      </c>
      <c r="Y26" s="85">
        <f>SUM(C26:W26)</f>
        <v>18139.9</v>
      </c>
    </row>
    <row r="27" spans="1:25" ht="13.5" customHeight="1" thickBot="1">
      <c r="A27" s="32"/>
      <c r="B27" s="78" t="s">
        <v>63</v>
      </c>
      <c r="C27" s="62"/>
      <c r="D27" s="76"/>
      <c r="E27" s="63"/>
      <c r="F27" s="76"/>
      <c r="G27" s="77"/>
      <c r="H27" s="79">
        <f>H9*5%</f>
        <v>2297.7305</v>
      </c>
      <c r="I27" s="79">
        <f>I9*5%</f>
        <v>2297.2740000000003</v>
      </c>
      <c r="J27" s="88">
        <f>J9*5%</f>
        <v>2297.2740000000003</v>
      </c>
      <c r="K27" s="79">
        <f>K9*5%</f>
        <v>2297.2740000000003</v>
      </c>
      <c r="L27" s="80">
        <f>L9*5%</f>
        <v>191.4395</v>
      </c>
      <c r="M27" s="79">
        <f aca="true" t="shared" si="6" ref="M27:W27">M9*5%</f>
        <v>191.4395</v>
      </c>
      <c r="N27" s="80">
        <f t="shared" si="6"/>
        <v>191.4395</v>
      </c>
      <c r="O27" s="79">
        <f t="shared" si="6"/>
        <v>191.4395</v>
      </c>
      <c r="P27" s="80">
        <f t="shared" si="6"/>
        <v>191.4395</v>
      </c>
      <c r="Q27" s="79">
        <f t="shared" si="6"/>
        <v>191.4395</v>
      </c>
      <c r="R27" s="80">
        <f t="shared" si="6"/>
        <v>191.4395</v>
      </c>
      <c r="S27" s="79">
        <f t="shared" si="6"/>
        <v>191.4395</v>
      </c>
      <c r="T27" s="80">
        <f t="shared" si="6"/>
        <v>191.4395</v>
      </c>
      <c r="U27" s="79">
        <f t="shared" si="6"/>
        <v>191.4395</v>
      </c>
      <c r="V27" s="80">
        <f t="shared" si="6"/>
        <v>191.4395</v>
      </c>
      <c r="W27" s="79">
        <f t="shared" si="6"/>
        <v>191.4395</v>
      </c>
      <c r="X27" s="79">
        <f t="shared" si="4"/>
        <v>2297.274</v>
      </c>
      <c r="Y27" s="57"/>
    </row>
    <row r="28" spans="1:25" ht="13.5" customHeight="1" thickBot="1">
      <c r="A28" s="32" t="s">
        <v>39</v>
      </c>
      <c r="B28" s="61" t="s">
        <v>52</v>
      </c>
      <c r="C28" s="62"/>
      <c r="D28" s="77"/>
      <c r="E28" s="89"/>
      <c r="F28" s="75"/>
      <c r="G28" s="77"/>
      <c r="H28" s="77"/>
      <c r="I28" s="77"/>
      <c r="J28" s="77"/>
      <c r="K28" s="79">
        <f aca="true" t="shared" si="7" ref="K28:W28">SUM(K9+K10-K11)-K27</f>
        <v>933.9259999999967</v>
      </c>
      <c r="L28" s="81">
        <f t="shared" si="7"/>
        <v>-32.4295000000007</v>
      </c>
      <c r="M28" s="79">
        <f t="shared" si="7"/>
        <v>50.8204999999993</v>
      </c>
      <c r="N28" s="81">
        <f t="shared" si="7"/>
        <v>-360.15950000000026</v>
      </c>
      <c r="O28" s="79">
        <f t="shared" si="7"/>
        <v>102.14049999999992</v>
      </c>
      <c r="P28" s="81">
        <f t="shared" si="7"/>
        <v>92.62049999999948</v>
      </c>
      <c r="Q28" s="79">
        <f t="shared" si="7"/>
        <v>243.59049999999974</v>
      </c>
      <c r="R28" s="81">
        <f t="shared" si="7"/>
        <v>-564.3594999999991</v>
      </c>
      <c r="S28" s="79">
        <f t="shared" si="7"/>
        <v>-6233.559499999999</v>
      </c>
      <c r="T28" s="81">
        <f t="shared" si="7"/>
        <v>245.98050000000006</v>
      </c>
      <c r="U28" s="79">
        <f t="shared" si="7"/>
        <v>18.93049999999988</v>
      </c>
      <c r="V28" s="81">
        <f t="shared" si="7"/>
        <v>50.32050000000021</v>
      </c>
      <c r="W28" s="79">
        <f t="shared" si="7"/>
        <v>-69.55950000000036</v>
      </c>
      <c r="X28" s="79">
        <f t="shared" si="4"/>
        <v>-6455.6640000000025</v>
      </c>
      <c r="Y28" s="54"/>
    </row>
    <row r="29" spans="1:25" ht="27.75" customHeight="1" thickBot="1">
      <c r="A29" s="91" t="s">
        <v>40</v>
      </c>
      <c r="B29" s="98" t="s">
        <v>23</v>
      </c>
      <c r="C29" s="93">
        <v>2557.96</v>
      </c>
      <c r="D29" s="94">
        <f>SUM(D9-D11)</f>
        <v>6587.010000000017</v>
      </c>
      <c r="E29" s="99">
        <f>SUM(E9-E11)</f>
        <v>-8262.660000000003</v>
      </c>
      <c r="F29" s="94">
        <f>SUM(F9-F11)</f>
        <v>-11206.779999999999</v>
      </c>
      <c r="G29" s="94">
        <f>SUM(G9-G11)</f>
        <v>-10993.18</v>
      </c>
      <c r="H29" s="100">
        <f>SUM(H9-H11)-H27</f>
        <v>-4827.320500000003</v>
      </c>
      <c r="I29" s="100">
        <f>SUM(I9-I11)-I27</f>
        <v>-3288.2940000000044</v>
      </c>
      <c r="J29" s="100">
        <f>SUM(J9-J11)-J27</f>
        <v>-2429.9639999999954</v>
      </c>
      <c r="K29" s="100">
        <f>SUM(K9+K10-K11)-K27</f>
        <v>933.9259999999967</v>
      </c>
      <c r="L29" s="101">
        <f>SUM(L9+L10-L11)-L27</f>
        <v>-32.4295000000007</v>
      </c>
      <c r="M29" s="100">
        <f>SUM(M28+L29)</f>
        <v>18.3909999999986</v>
      </c>
      <c r="N29" s="101">
        <f aca="true" t="shared" si="8" ref="N29:W29">SUM(N28+M29)</f>
        <v>-341.76850000000167</v>
      </c>
      <c r="O29" s="100">
        <f t="shared" si="8"/>
        <v>-239.62800000000175</v>
      </c>
      <c r="P29" s="101">
        <f t="shared" si="8"/>
        <v>-147.00750000000227</v>
      </c>
      <c r="Q29" s="100">
        <f t="shared" si="8"/>
        <v>96.58299999999747</v>
      </c>
      <c r="R29" s="101">
        <f t="shared" si="8"/>
        <v>-467.77650000000165</v>
      </c>
      <c r="S29" s="100">
        <f t="shared" si="8"/>
        <v>-6701.336000000001</v>
      </c>
      <c r="T29" s="101">
        <f t="shared" si="8"/>
        <v>-6455.3555000000015</v>
      </c>
      <c r="U29" s="100">
        <f t="shared" si="8"/>
        <v>-6436.425000000002</v>
      </c>
      <c r="V29" s="101">
        <f t="shared" si="8"/>
        <v>-6386.104500000002</v>
      </c>
      <c r="W29" s="100">
        <f t="shared" si="8"/>
        <v>-6455.6640000000025</v>
      </c>
      <c r="X29" s="94"/>
      <c r="Y29" s="102"/>
    </row>
    <row r="30" spans="1:25" ht="0.75" customHeight="1" thickBot="1">
      <c r="A30" s="32" t="s">
        <v>41</v>
      </c>
      <c r="B30" s="28" t="s">
        <v>24</v>
      </c>
      <c r="C30" s="13">
        <v>2557.96</v>
      </c>
      <c r="D30" s="50">
        <v>9144.97</v>
      </c>
      <c r="E30" s="90">
        <f>SUM(E9-E11,D30)</f>
        <v>882.3099999999959</v>
      </c>
      <c r="F30" s="50">
        <f>SUM(F9-F11,E30)</f>
        <v>-10324.470000000003</v>
      </c>
      <c r="G30" s="50">
        <f>SUM(G9-G11,F30)</f>
        <v>-21317.65</v>
      </c>
      <c r="H30" s="79">
        <f>SUM(H29+G30)</f>
        <v>-26144.970500000003</v>
      </c>
      <c r="I30" s="79">
        <f>SUM(I29+H30)</f>
        <v>-29433.26450000001</v>
      </c>
      <c r="J30" s="79">
        <f>SUM(J29+I30)</f>
        <v>-31863.228500000005</v>
      </c>
      <c r="K30" s="79">
        <f>SUM(K29+J30)</f>
        <v>-30929.30250000001</v>
      </c>
      <c r="L30" s="79">
        <f>SUM(L29+K30)</f>
        <v>-30961.73200000001</v>
      </c>
      <c r="M30" s="79">
        <f>SUM(M28+L30)</f>
        <v>-30910.911500000013</v>
      </c>
      <c r="N30" s="79">
        <f aca="true" t="shared" si="9" ref="N30:V30">SUM(N28+M30)</f>
        <v>-31271.071000000014</v>
      </c>
      <c r="O30" s="79">
        <f t="shared" si="9"/>
        <v>-31168.930500000013</v>
      </c>
      <c r="P30" s="79">
        <f t="shared" si="9"/>
        <v>-31076.310000000012</v>
      </c>
      <c r="Q30" s="79">
        <f t="shared" si="9"/>
        <v>-30832.719500000014</v>
      </c>
      <c r="R30" s="79">
        <f t="shared" si="9"/>
        <v>-31397.079000000012</v>
      </c>
      <c r="S30" s="79">
        <f t="shared" si="9"/>
        <v>-37630.638500000015</v>
      </c>
      <c r="T30" s="79">
        <f t="shared" si="9"/>
        <v>-37384.65800000002</v>
      </c>
      <c r="U30" s="79">
        <f t="shared" si="9"/>
        <v>-37365.727500000015</v>
      </c>
      <c r="V30" s="79">
        <f t="shared" si="9"/>
        <v>-37315.407000000014</v>
      </c>
      <c r="W30" s="79">
        <f>SUM(W28+V30)</f>
        <v>-37384.96650000002</v>
      </c>
      <c r="X30" s="51"/>
      <c r="Y30" s="46"/>
    </row>
    <row r="31" spans="1:25" ht="9" customHeight="1" hidden="1" thickBot="1">
      <c r="A31" s="32" t="s">
        <v>42</v>
      </c>
      <c r="B31" s="28" t="s">
        <v>7</v>
      </c>
      <c r="C31" s="36"/>
      <c r="D31" s="39"/>
      <c r="E31" s="36"/>
      <c r="F31" s="36"/>
      <c r="G31" s="36"/>
      <c r="H31" s="36"/>
      <c r="I31" s="36"/>
      <c r="J31" s="36"/>
      <c r="K31" s="3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5"/>
      <c r="X31" s="50"/>
      <c r="Y31" s="47"/>
    </row>
    <row r="32" spans="1:25" ht="15" customHeight="1" hidden="1" thickBot="1">
      <c r="A32" s="33" t="s">
        <v>43</v>
      </c>
      <c r="B32" s="29" t="s">
        <v>25</v>
      </c>
      <c r="C32" s="36"/>
      <c r="D32" s="39"/>
      <c r="E32" s="36"/>
      <c r="F32" s="36"/>
      <c r="G32" s="36"/>
      <c r="H32" s="36"/>
      <c r="I32" s="36"/>
      <c r="J32" s="36"/>
      <c r="K32" s="3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5"/>
      <c r="X32" s="51"/>
      <c r="Y32" s="45"/>
    </row>
    <row r="33" spans="1:25" ht="0.75" customHeight="1" hidden="1" thickBot="1">
      <c r="A33" s="33" t="s">
        <v>47</v>
      </c>
      <c r="B33" s="30" t="s">
        <v>48</v>
      </c>
      <c r="C33" s="37"/>
      <c r="D33" s="40"/>
      <c r="E33" s="37"/>
      <c r="F33" s="37"/>
      <c r="G33" s="37"/>
      <c r="H33" s="37"/>
      <c r="I33" s="37"/>
      <c r="J33" s="37"/>
      <c r="K33" s="37"/>
      <c r="L33" s="6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>
        <f>SUM(W29-W31)</f>
        <v>-6455.6640000000025</v>
      </c>
      <c r="X33" s="52"/>
      <c r="Y33" s="48"/>
    </row>
    <row r="34" spans="1:25" ht="24" customHeight="1" hidden="1" thickBot="1">
      <c r="A34" s="56" t="s">
        <v>51</v>
      </c>
      <c r="B34" s="30" t="s">
        <v>26</v>
      </c>
      <c r="C34" s="37"/>
      <c r="D34" s="40"/>
      <c r="E34" s="37"/>
      <c r="F34" s="16"/>
      <c r="G34" s="16"/>
      <c r="H34" s="16"/>
      <c r="I34" s="16"/>
      <c r="J34" s="16"/>
      <c r="K34" s="16"/>
      <c r="L34" s="6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>
        <f>SUM(W30-W31)</f>
        <v>-37384.96650000002</v>
      </c>
      <c r="X34" s="52"/>
      <c r="Y34" s="48"/>
    </row>
    <row r="35" spans="2:25" ht="10.5" customHeight="1" hidden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</row>
    <row r="36" ht="16.5" customHeight="1">
      <c r="B36" t="s">
        <v>70</v>
      </c>
    </row>
    <row r="37" ht="1.5" customHeight="1" hidden="1"/>
    <row r="38" ht="12.75" hidden="1"/>
    <row r="39" ht="12.75" hidden="1"/>
    <row r="44" ht="12.75" customHeight="1"/>
    <row r="45" ht="12.75" customHeight="1"/>
  </sheetData>
  <sheetProtection/>
  <mergeCells count="5">
    <mergeCell ref="B5:Y5"/>
    <mergeCell ref="B6:Y6"/>
    <mergeCell ref="B4:Y4"/>
    <mergeCell ref="B1:N1"/>
    <mergeCell ref="B2:W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2019-02-08T13:02:45Z</cp:lastPrinted>
  <dcterms:created xsi:type="dcterms:W3CDTF">2011-06-16T11:06:26Z</dcterms:created>
  <dcterms:modified xsi:type="dcterms:W3CDTF">2019-02-12T11:42:22Z</dcterms:modified>
  <cp:category/>
  <cp:version/>
  <cp:contentType/>
  <cp:contentStatus/>
</cp:coreProperties>
</file>