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<sst xmlns="http://schemas.openxmlformats.org/spreadsheetml/2006/main" count="78" uniqueCount="78">
  <si>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</si>
  <si>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</si>
  <si>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</si>
  <si>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</si>
  <si>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</si>
  <si>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</si>
  <si>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</si>
  <si>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</si>
  <si>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</si>
  <si>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</si>
  <si>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</si>
  <si>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</si>
  <si>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</si>
  <si>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</si>
  <si>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</si>
  <si>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</si>
  <si>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</si>
  <si>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</si>
  <si>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</si>
  <si>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</si>
  <si>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</si>
  <si>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</si>
  <si>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</si>
  <si>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</si>
  <si>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</si>
  <si>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</si>
  <si>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</si>
  <si>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</si>
  <si>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</si>
  <si>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</si>
  <si>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</si>
  <si>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</si>
  <si>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</si>
  <si>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</si>
  <si>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</si>
  <si>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</si>
  <si>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</si>
  <si>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</si>
  <si>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</si>
  <si>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</si>
  <si>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</si>
  <si>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</si>
  <si>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</si>
  <si>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</si>
  <si>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</si>
  <si>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</si>
  <si>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</si>
  <si>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пер.Крупской д.6</t>
  </si>
  <si>
    <t>за 2010 г.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</si>
  <si>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</si>
  <si>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</si>
  <si>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</si>
  <si>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</si>
  <si>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</si>
  <si>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Результат за месяц</t>
  </si>
  <si>
    <t>Благоустройство территории</t>
  </si>
  <si>
    <t>4.12</t>
  </si>
  <si>
    <t>4.13</t>
  </si>
  <si>
    <t>Итого за 2012 г</t>
  </si>
  <si>
    <t>Итого за 2013 г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</si>
  <si>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</si>
  <si>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</si>
  <si>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</si>
  <si>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</si>
  <si>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</si>
  <si>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</si>
  <si>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</si>
  <si>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 xml:space="preserve">Материалы </t>
  </si>
  <si>
    <t>Дом по пер.Крупской д.6 вступил в ООО "Наш дом" с  февраля  2010 года                   тариф  9,32 руб.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</si>
  <si>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</si>
  <si>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</si>
  <si>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</si>
  <si>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</si>
  <si>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СОИД</t>
  </si>
  <si>
    <t>Холодная вода СОИД</t>
  </si>
  <si>
    <t>Канализация СОИД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</si>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</sst>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i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left" wrapText="1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1" xfId="0" applyFont="1" applyBorder="1" applyAlignment="1">
      <alignment/>
    </xf>
    <xf numFmtId="49" fontId="20" fillId="0" borderId="16" xfId="0" applyNumberFormat="1" applyFont="1" applyBorder="1" applyAlignment="1">
      <alignment wrapText="1"/>
    </xf>
    <xf numFmtId="2" fontId="20" fillId="0" borderId="17" xfId="0" applyNumberFormat="1" applyFont="1" applyBorder="1" applyAlignment="1">
      <alignment wrapText="1"/>
    </xf>
    <xf numFmtId="2" fontId="20" fillId="0" borderId="22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/>
    </xf>
    <xf numFmtId="2" fontId="20" fillId="0" borderId="23" xfId="0" applyNumberFormat="1" applyFont="1" applyBorder="1" applyAlignment="1">
      <alignment/>
    </xf>
    <xf numFmtId="0" fontId="20" fillId="0" borderId="21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/>
    </xf>
    <xf numFmtId="0" fontId="20" fillId="0" borderId="15" xfId="0" applyFont="1" applyBorder="1" applyAlignment="1">
      <alignment horizontal="right" wrapText="1"/>
    </xf>
    <xf numFmtId="0" fontId="20" fillId="0" borderId="24" xfId="0" applyFont="1" applyBorder="1" applyAlignment="1">
      <alignment horizontal="right"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14" xfId="0" applyFont="1" applyBorder="1" applyAlignment="1">
      <alignment/>
    </xf>
    <xf numFmtId="0" fontId="20" fillId="0" borderId="31" xfId="0" applyFont="1" applyBorder="1" applyAlignment="1">
      <alignment/>
    </xf>
    <xf numFmtId="49" fontId="20" fillId="0" borderId="27" xfId="0" applyNumberFormat="1" applyFont="1" applyBorder="1" applyAlignment="1">
      <alignment horizontal="center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2" borderId="35" xfId="0" applyFont="1" applyFill="1" applyBorder="1" applyAlignment="1">
      <alignment wrapText="1"/>
    </xf>
    <xf numFmtId="0" fontId="20" fillId="2" borderId="32" xfId="0" applyFont="1" applyFill="1" applyBorder="1" applyAlignment="1">
      <alignment wrapText="1"/>
    </xf>
    <xf numFmtId="0" fontId="20" fillId="2" borderId="33" xfId="0" applyFont="1" applyFill="1" applyBorder="1" applyAlignment="1">
      <alignment wrapText="1"/>
    </xf>
    <xf numFmtId="0" fontId="19" fillId="2" borderId="36" xfId="0" applyFont="1" applyFill="1" applyBorder="1" applyAlignment="1">
      <alignment/>
    </xf>
    <xf numFmtId="0" fontId="19" fillId="2" borderId="38" xfId="0" applyFont="1" applyFill="1" applyBorder="1" applyAlignment="1">
      <alignment/>
    </xf>
    <xf numFmtId="0" fontId="19" fillId="2" borderId="33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49" fontId="20" fillId="0" borderId="32" xfId="0" applyNumberFormat="1" applyFont="1" applyBorder="1" applyAlignment="1">
      <alignment horizontal="center"/>
    </xf>
    <xf numFmtId="0" fontId="19" fillId="2" borderId="19" xfId="0" applyFont="1" applyFill="1" applyBorder="1" applyAlignment="1">
      <alignment/>
    </xf>
    <xf numFmtId="0" fontId="19" fillId="2" borderId="32" xfId="0" applyFont="1" applyFill="1" applyBorder="1" applyAlignment="1">
      <alignment/>
    </xf>
    <xf numFmtId="0" fontId="23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/>
    </xf>
    <xf numFmtId="2" fontId="20" fillId="0" borderId="41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4" fillId="0" borderId="43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2" fontId="20" fillId="0" borderId="38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44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2" fontId="20" fillId="0" borderId="43" xfId="0" applyNumberFormat="1" applyFont="1" applyBorder="1" applyAlignment="1">
      <alignment wrapText="1"/>
    </xf>
    <xf numFmtId="0" fontId="20" fillId="0" borderId="45" xfId="0" applyFont="1" applyBorder="1" applyAlignment="1">
      <alignment wrapText="1"/>
    </xf>
    <xf numFmtId="0" fontId="20" fillId="0" borderId="45" xfId="0" applyFont="1" applyBorder="1" applyAlignment="1">
      <alignment horizontal="right" wrapText="1"/>
    </xf>
    <xf numFmtId="0" fontId="20" fillId="0" borderId="46" xfId="0" applyFont="1" applyBorder="1" applyAlignment="1">
      <alignment wrapText="1"/>
    </xf>
    <xf numFmtId="2" fontId="20" fillId="0" borderId="33" xfId="0" applyNumberFormat="1" applyFont="1" applyBorder="1" applyAlignment="1">
      <alignment/>
    </xf>
    <xf numFmtId="0" fontId="20" fillId="0" borderId="47" xfId="0" applyFont="1" applyBorder="1" applyAlignment="1">
      <alignment wrapText="1"/>
    </xf>
    <xf numFmtId="2" fontId="20" fillId="0" borderId="34" xfId="0" applyNumberFormat="1" applyFont="1" applyBorder="1" applyAlignment="1">
      <alignment/>
    </xf>
    <xf numFmtId="0" fontId="23" fillId="0" borderId="44" xfId="0" applyFont="1" applyBorder="1" applyAlignment="1">
      <alignment horizontal="center" vertical="center" wrapText="1"/>
    </xf>
    <xf numFmtId="0" fontId="20" fillId="0" borderId="41" xfId="0" applyFont="1" applyBorder="1" applyAlignment="1">
      <alignment/>
    </xf>
    <xf numFmtId="0" fontId="24" fillId="0" borderId="48" xfId="0" applyFont="1" applyBorder="1" applyAlignment="1">
      <alignment wrapText="1"/>
    </xf>
    <xf numFmtId="2" fontId="20" fillId="0" borderId="39" xfId="0" applyNumberFormat="1" applyFont="1" applyBorder="1" applyAlignment="1">
      <alignment/>
    </xf>
    <xf numFmtId="49" fontId="26" fillId="0" borderId="15" xfId="0" applyNumberFormat="1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6" fillId="0" borderId="34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4" xfId="0" applyFont="1" applyBorder="1" applyAlignment="1">
      <alignment/>
    </xf>
    <xf numFmtId="0" fontId="27" fillId="0" borderId="11" xfId="0" applyFont="1" applyBorder="1" applyAlignment="1">
      <alignment/>
    </xf>
    <xf numFmtId="0" fontId="21" fillId="0" borderId="0" xfId="0" applyFont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/>
    </xf>
    <xf numFmtId="2" fontId="26" fillId="0" borderId="34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2" fontId="26" fillId="0" borderId="44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5" fillId="0" borderId="16" xfId="0" applyFont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B7">
      <selection activeCell="O40" sqref="O40"/>
    </sheetView>
  </sheetViews>
  <sheetFormatPr defaultColWidth="9.00390625" defaultRowHeight="12.75"/>
  <cols>
    <col min="1" max="1" width="3.875" style="8" hidden="1" customWidth="1"/>
    <col min="2" max="2" width="20.875" style="0" customWidth="1"/>
    <col min="3" max="3" width="7.75390625" style="0" hidden="1" customWidth="1"/>
    <col min="4" max="4" width="7.625" style="0" hidden="1" customWidth="1"/>
    <col min="5" max="5" width="9.75390625" style="0" hidden="1" customWidth="1"/>
    <col min="6" max="6" width="9.25390625" style="0" hidden="1" customWidth="1"/>
    <col min="7" max="7" width="9.00390625" style="0" hidden="1" customWidth="1"/>
    <col min="8" max="8" width="8.875" style="0" hidden="1" customWidth="1"/>
    <col min="9" max="9" width="9.375" style="0" hidden="1" customWidth="1"/>
    <col min="10" max="10" width="9.00390625" style="0" hidden="1" customWidth="1"/>
    <col min="11" max="12" width="8.875" style="0" customWidth="1"/>
    <col min="13" max="14" width="8.25390625" style="0" customWidth="1"/>
    <col min="15" max="15" width="8.125" style="0" customWidth="1"/>
    <col min="16" max="16" width="8.875" style="0" customWidth="1"/>
    <col min="17" max="17" width="8.25390625" style="0" customWidth="1"/>
    <col min="18" max="18" width="8.625" style="0" customWidth="1"/>
    <col min="19" max="19" width="8.75390625" style="0" customWidth="1"/>
    <col min="20" max="20" width="8.875" style="0" customWidth="1"/>
    <col min="21" max="21" width="8.25390625" style="0" customWidth="1"/>
    <col min="22" max="22" width="9.00390625" style="0" customWidth="1"/>
    <col min="23" max="23" width="9.125" style="0" customWidth="1"/>
    <col min="24" max="24" width="9.625" style="0" customWidth="1"/>
  </cols>
  <sheetData>
    <row r="1" spans="2:29" ht="12.75" customHeight="1">
      <c r="B1" s="107" t="s">
        <v>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7" t="s">
        <v>68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</row>
    <row r="4" spans="2:29" ht="15" customHeight="1">
      <c r="B4" s="105" t="s">
        <v>11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2"/>
      <c r="Z4" s="2"/>
      <c r="AA4" s="2"/>
      <c r="AB4" s="2"/>
      <c r="AC4" s="2"/>
    </row>
    <row r="5" spans="2:29" ht="16.5" customHeight="1" thickBot="1">
      <c r="B5" s="105" t="s">
        <v>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2"/>
      <c r="Z5" s="2"/>
      <c r="AA5" s="2"/>
      <c r="AB5" s="2"/>
      <c r="AC5" s="2"/>
    </row>
    <row r="6" spans="1:29" ht="30.75" customHeight="1" thickBot="1">
      <c r="A6" s="9" t="s">
        <v>28</v>
      </c>
      <c r="B6" s="10" t="s">
        <v>7</v>
      </c>
      <c r="C6" s="11" t="s">
        <v>48</v>
      </c>
      <c r="D6" s="66" t="s">
        <v>51</v>
      </c>
      <c r="E6" s="14" t="s">
        <v>58</v>
      </c>
      <c r="F6" s="14" t="s">
        <v>59</v>
      </c>
      <c r="G6" s="14" t="s">
        <v>60</v>
      </c>
      <c r="H6" s="14" t="s">
        <v>62</v>
      </c>
      <c r="I6" s="14" t="s">
        <v>70</v>
      </c>
      <c r="J6" s="14" t="s">
        <v>71</v>
      </c>
      <c r="K6" s="14" t="s">
        <v>12</v>
      </c>
      <c r="L6" s="84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23</v>
      </c>
      <c r="V6" s="13" t="s">
        <v>22</v>
      </c>
      <c r="W6" s="14" t="s">
        <v>76</v>
      </c>
      <c r="X6" s="104" t="s">
        <v>77</v>
      </c>
      <c r="Y6" s="1"/>
      <c r="Z6" s="1"/>
      <c r="AA6" s="1"/>
      <c r="AB6" s="1"/>
      <c r="AC6" s="1"/>
    </row>
    <row r="7" spans="1:24" ht="13.5" thickBot="1">
      <c r="A7" s="15" t="s">
        <v>29</v>
      </c>
      <c r="B7" s="16" t="s">
        <v>1</v>
      </c>
      <c r="C7" s="70">
        <v>79732.29</v>
      </c>
      <c r="D7" s="71">
        <v>95720.74</v>
      </c>
      <c r="E7" s="17">
        <v>97271.89</v>
      </c>
      <c r="F7" s="71">
        <v>96993.28</v>
      </c>
      <c r="G7" s="71">
        <v>96585.12</v>
      </c>
      <c r="H7" s="71">
        <v>96529.2</v>
      </c>
      <c r="I7" s="86">
        <v>96529.2</v>
      </c>
      <c r="J7" s="71">
        <v>96713.67</v>
      </c>
      <c r="K7" s="85">
        <v>8060.87</v>
      </c>
      <c r="L7" s="19">
        <v>8097.22</v>
      </c>
      <c r="M7" s="19">
        <v>8097.22</v>
      </c>
      <c r="N7" s="19">
        <v>8097.22</v>
      </c>
      <c r="O7" s="19">
        <v>8097.22</v>
      </c>
      <c r="P7" s="19">
        <v>8097.22</v>
      </c>
      <c r="Q7" s="19">
        <v>8097.22</v>
      </c>
      <c r="R7" s="19">
        <v>8097.22</v>
      </c>
      <c r="S7" s="19">
        <v>8097.22</v>
      </c>
      <c r="T7" s="19">
        <v>8097.22</v>
      </c>
      <c r="U7" s="19">
        <v>8097.22</v>
      </c>
      <c r="V7" s="19">
        <v>8083.24</v>
      </c>
      <c r="W7" s="20">
        <f>SUM(K7:V7)</f>
        <v>97116.31000000001</v>
      </c>
      <c r="X7" s="103">
        <f>SUM(C7:V7)</f>
        <v>853191.6999999996</v>
      </c>
    </row>
    <row r="8" spans="1:24" ht="13.5" thickBot="1">
      <c r="A8" s="15"/>
      <c r="B8" s="16" t="s">
        <v>72</v>
      </c>
      <c r="C8" s="70"/>
      <c r="D8" s="17"/>
      <c r="E8" s="17"/>
      <c r="F8" s="17"/>
      <c r="G8" s="17"/>
      <c r="H8" s="17"/>
      <c r="I8" s="70">
        <v>0</v>
      </c>
      <c r="J8" s="17">
        <v>10031.29</v>
      </c>
      <c r="K8" s="85">
        <f>1074.2+39.06+34.47</f>
        <v>1147.73</v>
      </c>
      <c r="L8" s="19">
        <f>1074.18+39.05+34.47</f>
        <v>1147.7</v>
      </c>
      <c r="M8" s="19">
        <f>1074.18+39.05+34.47</f>
        <v>1147.7</v>
      </c>
      <c r="N8" s="19">
        <f>1074.18+39.05+34.47</f>
        <v>1147.7</v>
      </c>
      <c r="O8" s="19">
        <f>1074.18+39.05+34.47</f>
        <v>1147.7</v>
      </c>
      <c r="P8" s="19">
        <f>1074.18+39.05+34.47</f>
        <v>1147.7</v>
      </c>
      <c r="Q8" s="19">
        <f>1127.42+39.28+34.78</f>
        <v>1201.48</v>
      </c>
      <c r="R8" s="19">
        <f>39.28+34.78</f>
        <v>74.06</v>
      </c>
      <c r="S8" s="19">
        <f>39.28+34.78</f>
        <v>74.06</v>
      </c>
      <c r="T8" s="19">
        <f>39.28+34.78</f>
        <v>74.06</v>
      </c>
      <c r="U8" s="19">
        <f>39.28+34.78</f>
        <v>74.06</v>
      </c>
      <c r="V8" s="19">
        <f>39.28+34.78</f>
        <v>74.06</v>
      </c>
      <c r="W8" s="20">
        <f>SUM(K8:V8)</f>
        <v>8458.009999999998</v>
      </c>
      <c r="X8" s="103">
        <f>SUM(C8:V8)</f>
        <v>18489.30000000001</v>
      </c>
    </row>
    <row r="9" spans="1:24" s="95" customFormat="1" ht="13.5" thickBot="1">
      <c r="A9" s="88" t="s">
        <v>30</v>
      </c>
      <c r="B9" s="89" t="s">
        <v>2</v>
      </c>
      <c r="C9" s="90">
        <f aca="true" t="shared" si="0" ref="C9:K9">SUM(C10:C24)</f>
        <v>73088.87999999999</v>
      </c>
      <c r="D9" s="91">
        <f t="shared" si="0"/>
        <v>90519.65000000001</v>
      </c>
      <c r="E9" s="91">
        <f t="shared" si="0"/>
        <v>91036.26</v>
      </c>
      <c r="F9" s="91">
        <f t="shared" si="0"/>
        <v>91570.27</v>
      </c>
      <c r="G9" s="91">
        <f t="shared" si="0"/>
        <v>95978.81999999999</v>
      </c>
      <c r="H9" s="91">
        <f>SUM(H10:H24)</f>
        <v>96619.23</v>
      </c>
      <c r="I9" s="92">
        <f>SUM(I10:I24)</f>
        <v>87772.02000000002</v>
      </c>
      <c r="J9" s="91">
        <f>SUM(J10:J24)</f>
        <v>101495.77999999998</v>
      </c>
      <c r="K9" s="93">
        <f t="shared" si="0"/>
        <v>8776.44</v>
      </c>
      <c r="L9" s="93">
        <f aca="true" t="shared" si="1" ref="L9:V9">SUM(L10:L24)</f>
        <v>9186.21</v>
      </c>
      <c r="M9" s="93">
        <f t="shared" si="1"/>
        <v>17127.890000000003</v>
      </c>
      <c r="N9" s="93">
        <f t="shared" si="1"/>
        <v>8591.97</v>
      </c>
      <c r="O9" s="93">
        <f t="shared" si="1"/>
        <v>9409.38</v>
      </c>
      <c r="P9" s="93">
        <f t="shared" si="1"/>
        <v>8938.27</v>
      </c>
      <c r="Q9" s="93">
        <f t="shared" si="1"/>
        <v>9085.58</v>
      </c>
      <c r="R9" s="93">
        <f t="shared" si="1"/>
        <v>17294.13</v>
      </c>
      <c r="S9" s="93">
        <f t="shared" si="1"/>
        <v>7237.03</v>
      </c>
      <c r="T9" s="93">
        <f t="shared" si="1"/>
        <v>7348.56</v>
      </c>
      <c r="U9" s="93">
        <f t="shared" si="1"/>
        <v>7713.830000000001</v>
      </c>
      <c r="V9" s="90">
        <f t="shared" si="1"/>
        <v>7481.76</v>
      </c>
      <c r="W9" s="91">
        <f>SUM(K9:V9)</f>
        <v>118191.05</v>
      </c>
      <c r="X9" s="94">
        <f>SUM(C9:V9)</f>
        <v>846271.96</v>
      </c>
    </row>
    <row r="10" spans="1:24" ht="13.5" thickBot="1">
      <c r="A10" s="15" t="s">
        <v>31</v>
      </c>
      <c r="B10" s="26" t="s">
        <v>4</v>
      </c>
      <c r="C10" s="27">
        <v>16350.03</v>
      </c>
      <c r="D10" s="28">
        <v>19985.14</v>
      </c>
      <c r="E10" s="27">
        <v>19848.5</v>
      </c>
      <c r="F10" s="27">
        <v>21282.84</v>
      </c>
      <c r="G10" s="77">
        <v>21867.84</v>
      </c>
      <c r="H10" s="27">
        <v>20899.09</v>
      </c>
      <c r="I10" s="77">
        <v>24250.86</v>
      </c>
      <c r="J10" s="27">
        <v>25719.16</v>
      </c>
      <c r="K10" s="68">
        <f>2014+78.06</f>
        <v>2092.06</v>
      </c>
      <c r="L10" s="29">
        <f>1962+83.54</f>
        <v>2045.54</v>
      </c>
      <c r="M10" s="29">
        <f>1961+59.32</f>
        <v>2020.32</v>
      </c>
      <c r="N10" s="29">
        <f>1961+167.12</f>
        <v>2128.12</v>
      </c>
      <c r="O10" s="29">
        <f>1961+156.15</f>
        <v>2117.15</v>
      </c>
      <c r="P10" s="29">
        <f>1961+160.38</f>
        <v>2121.38</v>
      </c>
      <c r="Q10" s="29">
        <f>1961+136.85</f>
        <v>2097.85</v>
      </c>
      <c r="R10" s="29">
        <f>1749+155.72</f>
        <v>1904.72</v>
      </c>
      <c r="S10" s="29">
        <f>1749+115.75</f>
        <v>1864.75</v>
      </c>
      <c r="T10" s="29">
        <f>1749+93.92</f>
        <v>1842.92</v>
      </c>
      <c r="U10" s="29">
        <f>1802+112.06</f>
        <v>1914.06</v>
      </c>
      <c r="V10" s="30">
        <f>1590+91.86</f>
        <v>1681.86</v>
      </c>
      <c r="W10" s="24">
        <f aca="true" t="shared" si="2" ref="W10:W26">SUM(K10:V10)</f>
        <v>23830.73</v>
      </c>
      <c r="X10" s="76">
        <f aca="true" t="shared" si="3" ref="X10:X23">SUM(C10:V10)</f>
        <v>194034.19</v>
      </c>
    </row>
    <row r="11" spans="1:24" ht="12" customHeight="1" thickBot="1">
      <c r="A11" s="15" t="s">
        <v>32</v>
      </c>
      <c r="B11" s="31" t="s">
        <v>66</v>
      </c>
      <c r="C11" s="32">
        <v>23872.12</v>
      </c>
      <c r="D11" s="33">
        <v>11880.37</v>
      </c>
      <c r="E11" s="32">
        <v>682.61</v>
      </c>
      <c r="F11" s="32">
        <v>4609.29</v>
      </c>
      <c r="G11" s="78">
        <v>1415.3</v>
      </c>
      <c r="H11" s="32">
        <v>1533.55</v>
      </c>
      <c r="I11" s="78">
        <v>61.15</v>
      </c>
      <c r="J11" s="32">
        <v>400</v>
      </c>
      <c r="K11" s="67"/>
      <c r="L11" s="18">
        <v>480</v>
      </c>
      <c r="M11" s="18">
        <v>8100.72</v>
      </c>
      <c r="N11" s="18"/>
      <c r="O11" s="18">
        <v>600</v>
      </c>
      <c r="P11" s="18"/>
      <c r="Q11" s="18"/>
      <c r="R11" s="18"/>
      <c r="S11" s="18"/>
      <c r="T11" s="18"/>
      <c r="U11" s="18"/>
      <c r="V11" s="21"/>
      <c r="W11" s="34">
        <f t="shared" si="2"/>
        <v>9180.720000000001</v>
      </c>
      <c r="X11" s="76">
        <f t="shared" si="3"/>
        <v>53635.11000000001</v>
      </c>
    </row>
    <row r="12" spans="1:24" ht="15" customHeight="1" thickBot="1">
      <c r="A12" s="15" t="s">
        <v>33</v>
      </c>
      <c r="B12" s="22" t="s">
        <v>5</v>
      </c>
      <c r="C12" s="35">
        <v>0</v>
      </c>
      <c r="D12" s="36">
        <v>0</v>
      </c>
      <c r="E12" s="35">
        <v>3531.46</v>
      </c>
      <c r="F12" s="35">
        <v>0</v>
      </c>
      <c r="G12" s="79"/>
      <c r="H12" s="35">
        <v>5911.2</v>
      </c>
      <c r="I12" s="79">
        <v>0</v>
      </c>
      <c r="J12" s="35">
        <v>0</v>
      </c>
      <c r="K12" s="67"/>
      <c r="L12" s="18"/>
      <c r="M12" s="18"/>
      <c r="N12" s="18"/>
      <c r="O12" s="18"/>
      <c r="P12" s="18"/>
      <c r="Q12" s="18"/>
      <c r="R12" s="18">
        <v>9863.14</v>
      </c>
      <c r="S12" s="18"/>
      <c r="T12" s="18"/>
      <c r="U12" s="18"/>
      <c r="V12" s="21"/>
      <c r="W12" s="24">
        <f t="shared" si="2"/>
        <v>9863.14</v>
      </c>
      <c r="X12" s="76">
        <f t="shared" si="3"/>
        <v>19305.8</v>
      </c>
    </row>
    <row r="13" spans="1:24" ht="21.75" customHeight="1" thickBot="1">
      <c r="A13" s="15" t="s">
        <v>34</v>
      </c>
      <c r="B13" s="22" t="s">
        <v>52</v>
      </c>
      <c r="C13" s="35">
        <v>0</v>
      </c>
      <c r="D13" s="36">
        <v>1091.63</v>
      </c>
      <c r="E13" s="35">
        <v>0</v>
      </c>
      <c r="F13" s="35">
        <v>0</v>
      </c>
      <c r="G13" s="79"/>
      <c r="H13" s="35">
        <v>0</v>
      </c>
      <c r="I13" s="79">
        <v>1600</v>
      </c>
      <c r="J13" s="35">
        <v>0</v>
      </c>
      <c r="K13" s="6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/>
      <c r="W13" s="24">
        <f t="shared" si="2"/>
        <v>0</v>
      </c>
      <c r="X13" s="76">
        <f t="shared" si="3"/>
        <v>2691.63</v>
      </c>
    </row>
    <row r="14" spans="1:24" ht="15" customHeight="1" thickBot="1">
      <c r="A14" s="15" t="s">
        <v>35</v>
      </c>
      <c r="B14" s="31" t="s">
        <v>67</v>
      </c>
      <c r="C14" s="32">
        <v>4014.88</v>
      </c>
      <c r="D14" s="33">
        <v>2287.45</v>
      </c>
      <c r="E14" s="32">
        <v>5926.64</v>
      </c>
      <c r="F14" s="32">
        <v>3444.22</v>
      </c>
      <c r="G14" s="78">
        <v>12228.74</v>
      </c>
      <c r="H14" s="32">
        <v>1549.59</v>
      </c>
      <c r="I14" s="78">
        <v>1208.38</v>
      </c>
      <c r="J14" s="32">
        <v>170</v>
      </c>
      <c r="K14" s="6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1"/>
      <c r="W14" s="34">
        <f t="shared" si="2"/>
        <v>0</v>
      </c>
      <c r="X14" s="76">
        <f>SUM(C14:V14)</f>
        <v>30829.9</v>
      </c>
    </row>
    <row r="15" spans="1:24" ht="24" customHeight="1" thickBot="1">
      <c r="A15" s="15" t="s">
        <v>36</v>
      </c>
      <c r="B15" s="31" t="s">
        <v>55</v>
      </c>
      <c r="C15" s="32"/>
      <c r="D15" s="33">
        <v>0</v>
      </c>
      <c r="E15" s="32">
        <v>256</v>
      </c>
      <c r="F15" s="32">
        <v>0</v>
      </c>
      <c r="G15" s="78">
        <v>16.97</v>
      </c>
      <c r="H15" s="32">
        <v>52.96</v>
      </c>
      <c r="I15" s="78">
        <v>51</v>
      </c>
      <c r="J15" s="32">
        <v>334.18</v>
      </c>
      <c r="K15" s="67"/>
      <c r="L15" s="18">
        <v>78</v>
      </c>
      <c r="M15" s="18"/>
      <c r="N15" s="18"/>
      <c r="O15" s="18"/>
      <c r="P15" s="18"/>
      <c r="Q15" s="18"/>
      <c r="R15" s="18"/>
      <c r="S15" s="18"/>
      <c r="T15" s="18"/>
      <c r="U15" s="18"/>
      <c r="V15" s="21"/>
      <c r="W15" s="24">
        <f>SUM(K15:V15)</f>
        <v>78</v>
      </c>
      <c r="X15" s="76">
        <f>SUM(C15:V15)</f>
        <v>789.11</v>
      </c>
    </row>
    <row r="16" spans="1:24" ht="12" customHeight="1" thickBot="1">
      <c r="A16" s="15" t="s">
        <v>37</v>
      </c>
      <c r="B16" s="31" t="s">
        <v>73</v>
      </c>
      <c r="C16" s="32">
        <v>2081.42</v>
      </c>
      <c r="D16" s="33">
        <v>2634.73</v>
      </c>
      <c r="E16" s="32">
        <v>1492.7</v>
      </c>
      <c r="F16" s="32">
        <v>0</v>
      </c>
      <c r="G16" s="78"/>
      <c r="H16" s="32">
        <v>0</v>
      </c>
      <c r="I16" s="78">
        <v>0</v>
      </c>
      <c r="J16" s="32">
        <v>9418.08</v>
      </c>
      <c r="K16" s="67">
        <v>1074.2</v>
      </c>
      <c r="L16" s="18">
        <v>1074.18</v>
      </c>
      <c r="M16" s="18">
        <v>1074.18</v>
      </c>
      <c r="N16" s="18">
        <v>1074.18</v>
      </c>
      <c r="O16" s="18">
        <v>1074.18</v>
      </c>
      <c r="P16" s="18">
        <v>1074.18</v>
      </c>
      <c r="Q16" s="18">
        <v>1127.42</v>
      </c>
      <c r="R16" s="18"/>
      <c r="S16" s="18"/>
      <c r="T16" s="18"/>
      <c r="U16" s="18"/>
      <c r="V16" s="21"/>
      <c r="W16" s="24">
        <f t="shared" si="2"/>
        <v>7572.520000000001</v>
      </c>
      <c r="X16" s="76">
        <f t="shared" si="3"/>
        <v>23199.450000000004</v>
      </c>
    </row>
    <row r="17" spans="1:24" ht="12" customHeight="1" thickBot="1">
      <c r="A17" s="15"/>
      <c r="B17" s="31" t="s">
        <v>74</v>
      </c>
      <c r="C17" s="32"/>
      <c r="D17" s="33"/>
      <c r="E17" s="32"/>
      <c r="F17" s="32"/>
      <c r="G17" s="78"/>
      <c r="H17" s="32"/>
      <c r="I17" s="78"/>
      <c r="J17" s="32">
        <v>372.71</v>
      </c>
      <c r="K17" s="67">
        <v>39.04</v>
      </c>
      <c r="L17" s="18">
        <v>39.04</v>
      </c>
      <c r="M17" s="18">
        <v>39.04</v>
      </c>
      <c r="N17" s="18">
        <v>39.04</v>
      </c>
      <c r="O17" s="18">
        <v>39.04</v>
      </c>
      <c r="P17" s="18">
        <v>39.04</v>
      </c>
      <c r="Q17" s="18">
        <v>39.28</v>
      </c>
      <c r="R17" s="18">
        <v>39.28</v>
      </c>
      <c r="S17" s="18">
        <v>39.28</v>
      </c>
      <c r="T17" s="18">
        <v>39.28</v>
      </c>
      <c r="U17" s="18">
        <v>39.28</v>
      </c>
      <c r="V17" s="18">
        <v>39.28</v>
      </c>
      <c r="W17" s="24">
        <f>SUM(K17:V17)</f>
        <v>469.91999999999985</v>
      </c>
      <c r="X17" s="76">
        <f>SUM(C17:V17)</f>
        <v>842.6299999999998</v>
      </c>
    </row>
    <row r="18" spans="1:24" ht="12" customHeight="1" thickBot="1">
      <c r="A18" s="15"/>
      <c r="B18" s="31" t="s">
        <v>75</v>
      </c>
      <c r="C18" s="32"/>
      <c r="D18" s="33"/>
      <c r="E18" s="32"/>
      <c r="F18" s="32"/>
      <c r="G18" s="78"/>
      <c r="H18" s="32"/>
      <c r="I18" s="78"/>
      <c r="J18" s="32">
        <v>240.54</v>
      </c>
      <c r="K18" s="67">
        <v>34.48</v>
      </c>
      <c r="L18" s="18">
        <v>34.48</v>
      </c>
      <c r="M18" s="18">
        <v>34.48</v>
      </c>
      <c r="N18" s="18">
        <v>34.48</v>
      </c>
      <c r="O18" s="18">
        <v>34.48</v>
      </c>
      <c r="P18" s="18">
        <v>34.48</v>
      </c>
      <c r="Q18" s="18">
        <v>34.77</v>
      </c>
      <c r="R18" s="18">
        <v>34.77</v>
      </c>
      <c r="S18" s="18">
        <v>34.77</v>
      </c>
      <c r="T18" s="18">
        <v>34.77</v>
      </c>
      <c r="U18" s="18">
        <v>34.77</v>
      </c>
      <c r="V18" s="18">
        <v>34.77</v>
      </c>
      <c r="W18" s="24">
        <f>SUM(K18:V18)</f>
        <v>415.4999999999999</v>
      </c>
      <c r="X18" s="76">
        <f>SUM(C18:V18)</f>
        <v>656.04</v>
      </c>
    </row>
    <row r="19" spans="1:24" ht="13.5" customHeight="1" thickBot="1">
      <c r="A19" s="15" t="s">
        <v>38</v>
      </c>
      <c r="B19" s="31" t="s">
        <v>6</v>
      </c>
      <c r="C19" s="32">
        <v>1021.03</v>
      </c>
      <c r="D19" s="33">
        <v>812.02</v>
      </c>
      <c r="E19" s="32">
        <v>551.55</v>
      </c>
      <c r="F19" s="32">
        <v>583.51</v>
      </c>
      <c r="G19" s="78"/>
      <c r="H19" s="32">
        <v>0</v>
      </c>
      <c r="I19" s="78">
        <v>0</v>
      </c>
      <c r="J19" s="32">
        <v>0</v>
      </c>
      <c r="K19" s="6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1"/>
      <c r="W19" s="34">
        <f t="shared" si="2"/>
        <v>0</v>
      </c>
      <c r="X19" s="76">
        <f t="shared" si="3"/>
        <v>2968.1099999999997</v>
      </c>
    </row>
    <row r="20" spans="1:24" ht="33.75" customHeight="1" thickBot="1">
      <c r="A20" s="15" t="s">
        <v>39</v>
      </c>
      <c r="B20" s="31" t="s">
        <v>63</v>
      </c>
      <c r="C20" s="32">
        <v>1189.24</v>
      </c>
      <c r="D20" s="33">
        <v>4232.01</v>
      </c>
      <c r="E20" s="32">
        <v>5468.62</v>
      </c>
      <c r="F20" s="32">
        <v>5164.89</v>
      </c>
      <c r="G20" s="78">
        <v>3518.82</v>
      </c>
      <c r="H20" s="32">
        <v>4148.07</v>
      </c>
      <c r="I20" s="78">
        <v>4386.46</v>
      </c>
      <c r="J20" s="32">
        <v>4464.97</v>
      </c>
      <c r="K20" s="67">
        <v>389.51</v>
      </c>
      <c r="L20" s="18">
        <v>358.95</v>
      </c>
      <c r="M20" s="18">
        <v>478.7</v>
      </c>
      <c r="N20" s="18">
        <v>373.28</v>
      </c>
      <c r="O20" s="18">
        <v>313.96</v>
      </c>
      <c r="P20" s="18">
        <v>455.05</v>
      </c>
      <c r="Q20" s="18">
        <v>370.15</v>
      </c>
      <c r="R20" s="18">
        <v>378.54</v>
      </c>
      <c r="S20" s="18">
        <v>311.11</v>
      </c>
      <c r="T20" s="18">
        <v>467</v>
      </c>
      <c r="U20" s="18">
        <v>412.88</v>
      </c>
      <c r="V20" s="21">
        <v>402.49</v>
      </c>
      <c r="W20" s="24">
        <f t="shared" si="2"/>
        <v>4711.62</v>
      </c>
      <c r="X20" s="76">
        <f t="shared" si="3"/>
        <v>37284.69999999999</v>
      </c>
    </row>
    <row r="21" spans="1:24" ht="24" customHeight="1" thickBot="1">
      <c r="A21" s="15" t="s">
        <v>40</v>
      </c>
      <c r="B21" s="31" t="s">
        <v>64</v>
      </c>
      <c r="C21" s="32">
        <v>2102.41</v>
      </c>
      <c r="D21" s="33">
        <v>2305.23</v>
      </c>
      <c r="E21" s="32">
        <v>689.7</v>
      </c>
      <c r="F21" s="32">
        <v>488.75</v>
      </c>
      <c r="G21" s="78">
        <v>1058.24</v>
      </c>
      <c r="H21" s="32">
        <v>714.88</v>
      </c>
      <c r="I21" s="78">
        <v>624.04</v>
      </c>
      <c r="J21" s="32">
        <v>488.3</v>
      </c>
      <c r="K21" s="67">
        <v>38.5</v>
      </c>
      <c r="L21" s="18">
        <v>25.96</v>
      </c>
      <c r="M21" s="18">
        <v>18.44</v>
      </c>
      <c r="N21" s="18">
        <v>25.91</v>
      </c>
      <c r="O21" s="18">
        <v>24.05</v>
      </c>
      <c r="P21" s="18">
        <v>28.68</v>
      </c>
      <c r="Q21" s="18">
        <v>87.72</v>
      </c>
      <c r="R21" s="18">
        <v>22.46</v>
      </c>
      <c r="S21" s="18">
        <v>27.81</v>
      </c>
      <c r="T21" s="18">
        <v>24.08</v>
      </c>
      <c r="U21" s="18">
        <v>115.15</v>
      </c>
      <c r="V21" s="21">
        <v>36.54</v>
      </c>
      <c r="W21" s="34">
        <f t="shared" si="2"/>
        <v>475.3</v>
      </c>
      <c r="X21" s="76">
        <f t="shared" si="3"/>
        <v>8946.849999999997</v>
      </c>
    </row>
    <row r="22" spans="1:24" ht="34.5" customHeight="1" thickBot="1">
      <c r="A22" s="15" t="s">
        <v>41</v>
      </c>
      <c r="B22" s="31" t="s">
        <v>65</v>
      </c>
      <c r="C22" s="32">
        <v>637.77</v>
      </c>
      <c r="D22" s="33">
        <v>3793.44</v>
      </c>
      <c r="E22" s="32">
        <v>3583.87</v>
      </c>
      <c r="F22" s="32">
        <v>4794.97</v>
      </c>
      <c r="G22" s="78">
        <v>4105.34</v>
      </c>
      <c r="H22" s="32">
        <v>5305.09</v>
      </c>
      <c r="I22" s="78">
        <v>4564.42</v>
      </c>
      <c r="J22" s="32">
        <v>4817.13</v>
      </c>
      <c r="K22" s="67">
        <f>19.27+137.87+212.88</f>
        <v>370.02</v>
      </c>
      <c r="L22" s="18">
        <f>203.03+21.21+187.26</f>
        <v>411.5</v>
      </c>
      <c r="M22" s="18">
        <f>205.64+21.03+203.23</f>
        <v>429.9</v>
      </c>
      <c r="N22" s="18">
        <f>216.62+21.31+158.32</f>
        <v>396.25</v>
      </c>
      <c r="O22" s="18">
        <f>262.64+19.14+123.55</f>
        <v>405.33</v>
      </c>
      <c r="P22" s="18">
        <f>210.93+17.96+117.89</f>
        <v>346.78000000000003</v>
      </c>
      <c r="Q22" s="18">
        <f>20.21+137+266.18</f>
        <v>423.39</v>
      </c>
      <c r="R22" s="18">
        <f>21.46+208.19+206.35</f>
        <v>436</v>
      </c>
      <c r="S22" s="18">
        <f>240.42+16.88+161.01</f>
        <v>418.31</v>
      </c>
      <c r="T22" s="18">
        <f>22.53+289.75+234.36</f>
        <v>546.64</v>
      </c>
      <c r="U22" s="18">
        <f>18.46+161.62+335.74</f>
        <v>515.82</v>
      </c>
      <c r="V22" s="21">
        <f>304.34+21.32+273.05</f>
        <v>598.71</v>
      </c>
      <c r="W22" s="24">
        <f t="shared" si="2"/>
        <v>5298.65</v>
      </c>
      <c r="X22" s="76">
        <f t="shared" si="3"/>
        <v>36900.68</v>
      </c>
    </row>
    <row r="23" spans="1:24" ht="13.5" customHeight="1" thickBot="1">
      <c r="A23" s="15" t="s">
        <v>56</v>
      </c>
      <c r="B23" s="31" t="s">
        <v>10</v>
      </c>
      <c r="C23" s="32">
        <v>18969.29</v>
      </c>
      <c r="D23" s="33">
        <v>35786.4</v>
      </c>
      <c r="E23" s="32">
        <v>45025.34</v>
      </c>
      <c r="F23" s="32">
        <v>47376.26</v>
      </c>
      <c r="G23" s="78">
        <v>48288.65</v>
      </c>
      <c r="H23" s="32">
        <v>52737.29</v>
      </c>
      <c r="I23" s="78">
        <v>47418.86</v>
      </c>
      <c r="J23" s="32">
        <v>51085.95</v>
      </c>
      <c r="K23" s="67">
        <f>9276.44-4357.56-500</f>
        <v>4418.88</v>
      </c>
      <c r="L23" s="18">
        <f>9586.21-4846.22-400</f>
        <v>4339.989999999999</v>
      </c>
      <c r="M23" s="18">
        <f>17127.89-12614.4</f>
        <v>4513.49</v>
      </c>
      <c r="N23" s="18">
        <f>8991.97-4354.27-400</f>
        <v>4237.699999999999</v>
      </c>
      <c r="O23" s="18">
        <f>9409.38-4898.31</f>
        <v>4511.069999999999</v>
      </c>
      <c r="P23" s="18">
        <f>8938.27-4456.9</f>
        <v>4481.370000000001</v>
      </c>
      <c r="Q23" s="18">
        <f>9485.58-4769-400</f>
        <v>4316.58</v>
      </c>
      <c r="R23" s="18">
        <f>16494.13-12954.2+400+400</f>
        <v>4339.93</v>
      </c>
      <c r="S23" s="18">
        <f>7237.03-3008.54</f>
        <v>4228.49</v>
      </c>
      <c r="T23" s="18">
        <f>5648.56-3341.1+1400+300</f>
        <v>4007.4600000000005</v>
      </c>
      <c r="U23" s="18">
        <f>8013.83-3339.22-300</f>
        <v>4374.610000000001</v>
      </c>
      <c r="V23" s="21">
        <f>7981.81-3051.27-0.05-500</f>
        <v>4430.490000000001</v>
      </c>
      <c r="W23" s="34">
        <f t="shared" si="2"/>
        <v>52200.06</v>
      </c>
      <c r="X23" s="76">
        <f t="shared" si="3"/>
        <v>398888.10000000003</v>
      </c>
    </row>
    <row r="24" spans="1:24" ht="13.5" customHeight="1" thickBot="1">
      <c r="A24" s="15" t="s">
        <v>57</v>
      </c>
      <c r="B24" s="37" t="s">
        <v>3</v>
      </c>
      <c r="C24" s="38">
        <v>2850.69</v>
      </c>
      <c r="D24" s="39">
        <v>5711.23</v>
      </c>
      <c r="E24" s="38">
        <v>3979.27</v>
      </c>
      <c r="F24" s="38">
        <v>3825.54</v>
      </c>
      <c r="G24" s="80">
        <v>3478.92</v>
      </c>
      <c r="H24" s="38">
        <v>3767.51</v>
      </c>
      <c r="I24" s="80">
        <v>3606.85</v>
      </c>
      <c r="J24" s="38">
        <v>3984.76</v>
      </c>
      <c r="K24" s="69">
        <f>39.85+279.9</f>
        <v>319.75</v>
      </c>
      <c r="L24" s="40">
        <f>37.2+261.37</f>
        <v>298.57</v>
      </c>
      <c r="M24" s="40">
        <f>62.57+356.05</f>
        <v>418.62</v>
      </c>
      <c r="N24" s="40">
        <f>35.13+247.88</f>
        <v>283.01</v>
      </c>
      <c r="O24" s="40">
        <f>36.02+254.1</f>
        <v>290.12</v>
      </c>
      <c r="P24" s="40">
        <f>44.37+312.94</f>
        <v>357.31</v>
      </c>
      <c r="Q24" s="40">
        <f>73.05+515.37</f>
        <v>588.42</v>
      </c>
      <c r="R24" s="40">
        <f>11.53+263.76</f>
        <v>275.28999999999996</v>
      </c>
      <c r="S24" s="40">
        <f>10.81+301.7</f>
        <v>312.51</v>
      </c>
      <c r="T24" s="40">
        <f>20.71+365.7</f>
        <v>386.40999999999997</v>
      </c>
      <c r="U24" s="40">
        <f>2.82+304.44</f>
        <v>307.26</v>
      </c>
      <c r="V24" s="41">
        <f>2.34+255.28</f>
        <v>257.62</v>
      </c>
      <c r="W24" s="24">
        <f t="shared" si="2"/>
        <v>4094.8900000000003</v>
      </c>
      <c r="X24" s="76">
        <f>SUM(C24:V24)</f>
        <v>35299.66000000001</v>
      </c>
    </row>
    <row r="25" spans="1:24" ht="13.5" customHeight="1" thickBot="1">
      <c r="A25" s="15"/>
      <c r="B25" s="45" t="s">
        <v>61</v>
      </c>
      <c r="C25" s="43"/>
      <c r="D25" s="44"/>
      <c r="E25" s="43"/>
      <c r="F25" s="43"/>
      <c r="G25" s="81">
        <f>G7*5%</f>
        <v>4829.256</v>
      </c>
      <c r="H25" s="73">
        <f>H7*5%</f>
        <v>4826.46</v>
      </c>
      <c r="I25" s="81">
        <f>I7*5%</f>
        <v>4826.46</v>
      </c>
      <c r="J25" s="73">
        <v>4835.68</v>
      </c>
      <c r="K25" s="72">
        <f>K7*5%</f>
        <v>403.0435</v>
      </c>
      <c r="L25" s="72">
        <f aca="true" t="shared" si="4" ref="L25:V25">L7*5%</f>
        <v>404.86100000000005</v>
      </c>
      <c r="M25" s="72">
        <f t="shared" si="4"/>
        <v>404.86100000000005</v>
      </c>
      <c r="N25" s="72">
        <f t="shared" si="4"/>
        <v>404.86100000000005</v>
      </c>
      <c r="O25" s="72">
        <f t="shared" si="4"/>
        <v>404.86100000000005</v>
      </c>
      <c r="P25" s="72">
        <f t="shared" si="4"/>
        <v>404.86100000000005</v>
      </c>
      <c r="Q25" s="72">
        <f t="shared" si="4"/>
        <v>404.86100000000005</v>
      </c>
      <c r="R25" s="72">
        <f t="shared" si="4"/>
        <v>404.86100000000005</v>
      </c>
      <c r="S25" s="72">
        <f t="shared" si="4"/>
        <v>404.86100000000005</v>
      </c>
      <c r="T25" s="72">
        <f t="shared" si="4"/>
        <v>404.86100000000005</v>
      </c>
      <c r="U25" s="72">
        <f t="shared" si="4"/>
        <v>404.86100000000005</v>
      </c>
      <c r="V25" s="72">
        <f t="shared" si="4"/>
        <v>404.16200000000003</v>
      </c>
      <c r="W25" s="73">
        <f t="shared" si="2"/>
        <v>4855.815500000001</v>
      </c>
      <c r="X25" s="76"/>
    </row>
    <row r="26" spans="1:24" ht="13.5" customHeight="1" thickBot="1">
      <c r="A26" s="15" t="s">
        <v>42</v>
      </c>
      <c r="B26" s="42" t="s">
        <v>54</v>
      </c>
      <c r="C26" s="43"/>
      <c r="D26" s="44"/>
      <c r="E26" s="43"/>
      <c r="F26" s="43"/>
      <c r="G26" s="82"/>
      <c r="H26" s="43"/>
      <c r="I26" s="82"/>
      <c r="J26" s="73">
        <f aca="true" t="shared" si="5" ref="J26:V26">SUM(J7+J8-J9)-J25</f>
        <v>413.5000000000073</v>
      </c>
      <c r="K26" s="74">
        <f t="shared" si="5"/>
        <v>29.11649999999986</v>
      </c>
      <c r="L26" s="74">
        <f t="shared" si="5"/>
        <v>-346.1509999999991</v>
      </c>
      <c r="M26" s="74">
        <f t="shared" si="5"/>
        <v>-8287.831000000004</v>
      </c>
      <c r="N26" s="74">
        <f t="shared" si="5"/>
        <v>248.08900000000068</v>
      </c>
      <c r="O26" s="74">
        <f t="shared" si="5"/>
        <v>-569.3209999999992</v>
      </c>
      <c r="P26" s="74">
        <f t="shared" si="5"/>
        <v>-98.21100000000041</v>
      </c>
      <c r="Q26" s="74">
        <f t="shared" si="5"/>
        <v>-191.74099999999925</v>
      </c>
      <c r="R26" s="74">
        <f t="shared" si="5"/>
        <v>-9527.711000000001</v>
      </c>
      <c r="S26" s="74">
        <f t="shared" si="5"/>
        <v>529.3890000000008</v>
      </c>
      <c r="T26" s="74">
        <f t="shared" si="5"/>
        <v>417.8590000000002</v>
      </c>
      <c r="U26" s="74">
        <f t="shared" si="5"/>
        <v>52.58899999999977</v>
      </c>
      <c r="V26" s="74">
        <f t="shared" si="5"/>
        <v>271.37799999999993</v>
      </c>
      <c r="W26" s="73">
        <f t="shared" si="2"/>
        <v>-17472.545500000004</v>
      </c>
      <c r="X26" s="25"/>
    </row>
    <row r="27" spans="1:24" ht="26.25" customHeight="1" thickBot="1">
      <c r="A27" s="15" t="s">
        <v>43</v>
      </c>
      <c r="B27" s="96" t="s">
        <v>24</v>
      </c>
      <c r="C27" s="96">
        <v>6643.4</v>
      </c>
      <c r="D27" s="97">
        <f>SUM(D7-D9)</f>
        <v>5201.0899999999965</v>
      </c>
      <c r="E27" s="91">
        <f>SUM(E7-E9)</f>
        <v>6235.630000000005</v>
      </c>
      <c r="F27" s="91">
        <f>SUM(F7-F9)</f>
        <v>5423.009999999995</v>
      </c>
      <c r="G27" s="98">
        <f>SUM(G7-G9)-G25</f>
        <v>-4222.955999999997</v>
      </c>
      <c r="H27" s="99">
        <f>SUM(H7-H9)-H25</f>
        <v>-4916.489999999999</v>
      </c>
      <c r="I27" s="98">
        <f>SUM(I7-I9)-I25</f>
        <v>3930.7199999999784</v>
      </c>
      <c r="J27" s="99">
        <f>SUM(J7+J8-J9)-J25</f>
        <v>413.5000000000073</v>
      </c>
      <c r="K27" s="100">
        <f>SUM(K7+K8-K9)-K25</f>
        <v>29.11649999999986</v>
      </c>
      <c r="L27" s="101">
        <f>SUM(L26+K27)</f>
        <v>-317.03449999999924</v>
      </c>
      <c r="M27" s="101">
        <f aca="true" t="shared" si="6" ref="M27:V27">SUM(M26+L27)</f>
        <v>-8604.865500000004</v>
      </c>
      <c r="N27" s="101">
        <f t="shared" si="6"/>
        <v>-8356.776500000004</v>
      </c>
      <c r="O27" s="101">
        <f t="shared" si="6"/>
        <v>-8926.097500000003</v>
      </c>
      <c r="P27" s="101">
        <f t="shared" si="6"/>
        <v>-9024.308500000005</v>
      </c>
      <c r="Q27" s="101">
        <f t="shared" si="6"/>
        <v>-9216.049500000005</v>
      </c>
      <c r="R27" s="101">
        <f t="shared" si="6"/>
        <v>-18743.760500000004</v>
      </c>
      <c r="S27" s="101">
        <f t="shared" si="6"/>
        <v>-18214.371500000005</v>
      </c>
      <c r="T27" s="101">
        <f t="shared" si="6"/>
        <v>-17796.512500000004</v>
      </c>
      <c r="U27" s="101">
        <f t="shared" si="6"/>
        <v>-17743.923500000004</v>
      </c>
      <c r="V27" s="101">
        <f t="shared" si="6"/>
        <v>-17472.545500000004</v>
      </c>
      <c r="W27" s="91"/>
      <c r="X27" s="102"/>
    </row>
    <row r="28" spans="1:24" ht="21" customHeight="1" hidden="1" thickBot="1">
      <c r="A28" s="15" t="s">
        <v>44</v>
      </c>
      <c r="B28" s="47" t="s">
        <v>25</v>
      </c>
      <c r="C28" s="45">
        <v>6643.4</v>
      </c>
      <c r="D28" s="49">
        <f>SUM(D7-D9,C28)</f>
        <v>11844.489999999996</v>
      </c>
      <c r="E28" s="24">
        <f>SUM(E7-E9,D28)</f>
        <v>18080.120000000003</v>
      </c>
      <c r="F28" s="24">
        <f>SUM(F7-F9,E28)</f>
        <v>23503.129999999997</v>
      </c>
      <c r="G28" s="83">
        <f>SUM(G27+F28)</f>
        <v>19280.174</v>
      </c>
      <c r="H28" s="73">
        <f>SUM(H27+G28)</f>
        <v>14363.684000000001</v>
      </c>
      <c r="I28" s="87">
        <f>SUM(I27+H28)</f>
        <v>18294.40399999998</v>
      </c>
      <c r="J28" s="73">
        <f>SUM(J27+I28)</f>
        <v>18707.903999999988</v>
      </c>
      <c r="K28" s="73">
        <f>SUM(K27+J28)</f>
        <v>18737.020499999988</v>
      </c>
      <c r="L28" s="73">
        <f>SUM(L26+K28)</f>
        <v>18390.86949999999</v>
      </c>
      <c r="M28" s="75">
        <f>SUM(M26+L28)</f>
        <v>10103.038499999986</v>
      </c>
      <c r="N28" s="75">
        <f>SUM(N26+M28)</f>
        <v>10351.127499999986</v>
      </c>
      <c r="O28" s="75">
        <f aca="true" t="shared" si="7" ref="O28:U28">SUM(O26+N28)</f>
        <v>9781.806499999986</v>
      </c>
      <c r="P28" s="75">
        <f t="shared" si="7"/>
        <v>9683.595499999985</v>
      </c>
      <c r="Q28" s="75">
        <f t="shared" si="7"/>
        <v>9491.854499999985</v>
      </c>
      <c r="R28" s="75">
        <f t="shared" si="7"/>
        <v>-35.85650000001624</v>
      </c>
      <c r="S28" s="75">
        <f t="shared" si="7"/>
        <v>493.53249999998457</v>
      </c>
      <c r="T28" s="75">
        <f t="shared" si="7"/>
        <v>911.3914999999847</v>
      </c>
      <c r="U28" s="75">
        <f t="shared" si="7"/>
        <v>963.9804999999844</v>
      </c>
      <c r="V28" s="75">
        <f>SUM(V26+U28)</f>
        <v>1235.3584999999844</v>
      </c>
      <c r="W28" s="24"/>
      <c r="X28" s="25"/>
    </row>
    <row r="29" spans="1:24" ht="0.75" customHeight="1" hidden="1" thickBot="1">
      <c r="A29" s="15" t="s">
        <v>45</v>
      </c>
      <c r="B29" s="47" t="s">
        <v>8</v>
      </c>
      <c r="C29" s="45"/>
      <c r="D29" s="48"/>
      <c r="E29" s="48"/>
      <c r="F29" s="48"/>
      <c r="G29" s="48"/>
      <c r="H29" s="48"/>
      <c r="I29" s="48"/>
      <c r="J29" s="4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9"/>
      <c r="W29" s="24"/>
      <c r="X29" s="50"/>
    </row>
    <row r="30" spans="1:24" ht="15" customHeight="1" hidden="1" thickBot="1">
      <c r="A30" s="51" t="s">
        <v>46</v>
      </c>
      <c r="B30" s="52" t="s">
        <v>26</v>
      </c>
      <c r="C30" s="43"/>
      <c r="D30" s="44"/>
      <c r="E30" s="44"/>
      <c r="F30" s="44"/>
      <c r="G30" s="44"/>
      <c r="H30" s="44"/>
      <c r="I30" s="44"/>
      <c r="J30" s="44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24"/>
      <c r="X30" s="46"/>
    </row>
    <row r="31" spans="1:24" ht="0.75" customHeight="1" hidden="1" thickBot="1">
      <c r="A31" s="51" t="s">
        <v>49</v>
      </c>
      <c r="B31" s="55" t="s">
        <v>50</v>
      </c>
      <c r="C31" s="56"/>
      <c r="D31" s="57"/>
      <c r="E31" s="57"/>
      <c r="F31" s="57"/>
      <c r="G31" s="57"/>
      <c r="H31" s="57"/>
      <c r="I31" s="57"/>
      <c r="J31" s="57"/>
      <c r="K31" s="58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>
        <f>SUM(V27-V29)</f>
        <v>-17472.545500000004</v>
      </c>
      <c r="W31" s="61"/>
      <c r="X31" s="62"/>
    </row>
    <row r="32" spans="1:24" ht="24" customHeight="1" hidden="1" thickBot="1">
      <c r="A32" s="63" t="s">
        <v>53</v>
      </c>
      <c r="B32" s="55" t="s">
        <v>27</v>
      </c>
      <c r="C32" s="56"/>
      <c r="D32" s="57"/>
      <c r="E32" s="5"/>
      <c r="F32" s="5"/>
      <c r="G32" s="5"/>
      <c r="H32" s="5"/>
      <c r="I32" s="5"/>
      <c r="J32" s="5"/>
      <c r="K32" s="64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>
        <f>SUM(V28-V29)</f>
        <v>1235.3584999999844</v>
      </c>
      <c r="W32" s="65"/>
      <c r="X32" s="62"/>
    </row>
    <row r="33" spans="2:24" ht="11.25" customHeight="1" hidden="1">
      <c r="B33" s="5"/>
      <c r="C33" s="5"/>
      <c r="D33" s="5"/>
      <c r="E33" s="5"/>
      <c r="F33" s="5"/>
      <c r="G33" s="5"/>
      <c r="H33" s="5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3:24" ht="24" customHeight="1" hidden="1">
      <c r="C34" s="5"/>
      <c r="D34" s="5"/>
      <c r="E34" s="5"/>
      <c r="F34" s="5"/>
      <c r="G34" s="5"/>
      <c r="H34" s="5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ht="12.75" hidden="1"/>
    <row r="36" ht="0.75" customHeight="1" hidden="1"/>
    <row r="37" ht="12.75" hidden="1"/>
    <row r="38" ht="2.25" customHeight="1"/>
    <row r="39" ht="12.75">
      <c r="B39" t="s">
        <v>69</v>
      </c>
    </row>
    <row r="43" ht="12.75" customHeight="1"/>
    <row r="44" ht="12.75" customHeight="1"/>
  </sheetData>
  <sheetProtection/>
  <mergeCells count="5">
    <mergeCell ref="B4:X4"/>
    <mergeCell ref="B5:X5"/>
    <mergeCell ref="B3:X3"/>
    <mergeCell ref="B1:M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2019-02-08T11:55:07Z</cp:lastPrinted>
  <dcterms:created xsi:type="dcterms:W3CDTF">2011-06-16T11:06:26Z</dcterms:created>
  <dcterms:modified xsi:type="dcterms:W3CDTF">2019-02-12T11:41:10Z</dcterms:modified>
  <cp:category/>
  <cp:version/>
  <cp:contentType/>
  <cp:contentStatus/>
</cp:coreProperties>
</file>