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<sst xmlns="http://schemas.openxmlformats.org/spreadsheetml/2006/main" count="78" uniqueCount="77">
  <si>
    <t>СПРАВКА</t>
  </si>
  <si>
    <t xml:space="preserve">Начислено  </t>
  </si>
  <si>
    <t>Расходы</t>
  </si>
  <si>
    <t>Услуги РИРЦ</t>
  </si>
  <si>
    <t>Вывоз ТБО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</si>
  <si>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</si>
  <si>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</si>
  <si>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</si>
  <si>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</si>
  <si>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</si>
  <si>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</si>
  <si>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</si>
  <si>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</si>
  <si>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</si>
  <si>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</si>
  <si>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</si>
  <si>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</si>
  <si>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</si>
  <si>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</si>
  <si>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</si>
  <si>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</si>
  <si>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</si>
  <si>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</si>
  <si>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</si>
  <si>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</si>
  <si>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</si>
  <si>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</si>
  <si>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</si>
  <si>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</si>
  <si>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</si>
  <si>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</si>
  <si>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</si>
  <si>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</si>
  <si>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</si>
  <si>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</si>
  <si>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</si>
  <si>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</si>
  <si>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</si>
  <si>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</si>
  <si>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</si>
  <si>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</si>
  <si>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</si>
  <si>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</si>
  <si>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</si>
  <si>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</si>
  <si>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по жилому дому г. Унеча  пер.Крупской д.9</t>
  </si>
  <si>
    <t>за 2009 г.</t>
  </si>
  <si>
    <t>за 2010 г.</t>
  </si>
  <si>
    <t>10</t>
  </si>
  <si>
    <t>Финансовый результат по дому с начала года</t>
  </si>
  <si>
    <t>Итого за 2011 г</t>
  </si>
  <si>
    <t>Результат за месяц</t>
  </si>
  <si>
    <t>Благоустройство территории</t>
  </si>
  <si>
    <t>4.12</t>
  </si>
  <si>
    <t>Итого за 2012 г</t>
  </si>
  <si>
    <t>Итого за 2013 г</t>
  </si>
  <si>
    <t>4.3</t>
  </si>
  <si>
    <t>Тех.обслуживание  газопроводов</t>
  </si>
  <si>
    <t xml:space="preserve">Материалы </t>
  </si>
  <si>
    <t>Итого за 2014 г</t>
  </si>
  <si>
    <t>рентабельность 5%</t>
  </si>
  <si>
    <t>Итого за 2015 г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</si>
  <si>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</si>
  <si>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</si>
  <si>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</si>
  <si>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Услуги сторонни х орган.</t>
  </si>
  <si>
    <t>Дом по пер.Крупской д.9 вступил в ООО "Наш дом" с октября 2009 года                      тариф 8,3 руб.</t>
  </si>
  <si>
    <t>Исполнитель  вед. экономист /Викторова Л.С./</t>
  </si>
  <si>
    <t>Итого за 2016 г</t>
  </si>
  <si>
    <t>Проверка вент каналов</t>
  </si>
  <si>
    <t>Итого за 2017 г</t>
  </si>
  <si>
    <t>Начислено СОИД</t>
  </si>
  <si>
    <t>Электроэнергия  СОИД</t>
  </si>
  <si>
    <t>Холодная вода СОИД</t>
  </si>
  <si>
    <t>Канализация СОИД</t>
  </si>
  <si>
    <t>Итого за 2018 г</t>
  </si>
  <si>
    <t>Всего за 2009-2018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</si>
</sst>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9"/>
      <color indexed="10"/>
      <name val="Arial Cyr"/>
      <family val="0"/>
    </font>
    <font>
      <b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19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49" fontId="23" fillId="0" borderId="10" xfId="0" applyNumberFormat="1" applyFont="1" applyBorder="1" applyAlignment="1">
      <alignment horizontal="center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/>
    </xf>
    <xf numFmtId="0" fontId="25" fillId="0" borderId="18" xfId="0" applyFont="1" applyBorder="1" applyAlignment="1">
      <alignment wrapText="1"/>
    </xf>
    <xf numFmtId="0" fontId="25" fillId="0" borderId="19" xfId="0" applyFont="1" applyBorder="1" applyAlignment="1">
      <alignment horizontal="right" wrapText="1"/>
    </xf>
    <xf numFmtId="0" fontId="25" fillId="0" borderId="10" xfId="0" applyFont="1" applyBorder="1" applyAlignment="1">
      <alignment wrapText="1"/>
    </xf>
    <xf numFmtId="0" fontId="25" fillId="0" borderId="19" xfId="0" applyFont="1" applyBorder="1" applyAlignment="1">
      <alignment wrapText="1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5" xfId="0" applyFont="1" applyBorder="1" applyAlignment="1">
      <alignment/>
    </xf>
    <xf numFmtId="2" fontId="20" fillId="0" borderId="24" xfId="0" applyNumberFormat="1" applyFont="1" applyBorder="1" applyAlignment="1">
      <alignment/>
    </xf>
    <xf numFmtId="49" fontId="20" fillId="0" borderId="18" xfId="0" applyNumberFormat="1" applyFont="1" applyBorder="1" applyAlignment="1">
      <alignment wrapText="1"/>
    </xf>
    <xf numFmtId="2" fontId="20" fillId="0" borderId="19" xfId="0" applyNumberFormat="1" applyFont="1" applyBorder="1" applyAlignment="1">
      <alignment horizontal="right" wrapText="1"/>
    </xf>
    <xf numFmtId="2" fontId="20" fillId="0" borderId="25" xfId="0" applyNumberFormat="1" applyFont="1" applyBorder="1" applyAlignment="1">
      <alignment wrapText="1"/>
    </xf>
    <xf numFmtId="2" fontId="20" fillId="0" borderId="19" xfId="0" applyNumberFormat="1" applyFont="1" applyBorder="1" applyAlignment="1">
      <alignment wrapText="1"/>
    </xf>
    <xf numFmtId="2" fontId="20" fillId="0" borderId="21" xfId="0" applyNumberFormat="1" applyFont="1" applyBorder="1" applyAlignment="1">
      <alignment/>
    </xf>
    <xf numFmtId="2" fontId="20" fillId="0" borderId="13" xfId="0" applyNumberFormat="1" applyFont="1" applyBorder="1" applyAlignment="1">
      <alignment/>
    </xf>
    <xf numFmtId="0" fontId="20" fillId="0" borderId="26" xfId="0" applyFont="1" applyBorder="1" applyAlignment="1">
      <alignment wrapText="1"/>
    </xf>
    <xf numFmtId="0" fontId="20" fillId="0" borderId="27" xfId="0" applyFont="1" applyBorder="1" applyAlignment="1">
      <alignment horizontal="right" wrapText="1"/>
    </xf>
    <xf numFmtId="0" fontId="20" fillId="0" borderId="17" xfId="0" applyFont="1" applyBorder="1" applyAlignment="1">
      <alignment wrapText="1"/>
    </xf>
    <xf numFmtId="0" fontId="20" fillId="0" borderId="27" xfId="0" applyFont="1" applyBorder="1" applyAlignment="1">
      <alignment wrapText="1"/>
    </xf>
    <xf numFmtId="0" fontId="20" fillId="0" borderId="28" xfId="0" applyFont="1" applyBorder="1" applyAlignment="1">
      <alignment wrapText="1"/>
    </xf>
    <xf numFmtId="0" fontId="20" fillId="0" borderId="29" xfId="0" applyFont="1" applyBorder="1" applyAlignment="1">
      <alignment horizontal="right" wrapText="1"/>
    </xf>
    <xf numFmtId="0" fontId="20" fillId="0" borderId="30" xfId="0" applyFont="1" applyBorder="1" applyAlignment="1">
      <alignment wrapText="1"/>
    </xf>
    <xf numFmtId="0" fontId="20" fillId="0" borderId="29" xfId="0" applyFont="1" applyBorder="1" applyAlignment="1">
      <alignment wrapText="1"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33" xfId="0" applyFont="1" applyBorder="1" applyAlignment="1">
      <alignment wrapText="1"/>
    </xf>
    <xf numFmtId="0" fontId="20" fillId="0" borderId="34" xfId="0" applyFont="1" applyBorder="1" applyAlignment="1">
      <alignment horizontal="right" wrapText="1"/>
    </xf>
    <xf numFmtId="0" fontId="20" fillId="0" borderId="35" xfId="0" applyFont="1" applyBorder="1" applyAlignment="1">
      <alignment wrapText="1"/>
    </xf>
    <xf numFmtId="0" fontId="20" fillId="0" borderId="34" xfId="0" applyFont="1" applyBorder="1" applyAlignment="1">
      <alignment wrapText="1"/>
    </xf>
    <xf numFmtId="0" fontId="20" fillId="0" borderId="36" xfId="0" applyFont="1" applyBorder="1" applyAlignment="1">
      <alignment horizontal="right" wrapText="1"/>
    </xf>
    <xf numFmtId="0" fontId="20" fillId="0" borderId="13" xfId="0" applyFont="1" applyBorder="1" applyAlignment="1">
      <alignment wrapText="1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>
      <alignment horizontal="right" wrapText="1"/>
    </xf>
    <xf numFmtId="0" fontId="20" fillId="0" borderId="12" xfId="0" applyFont="1" applyBorder="1" applyAlignment="1">
      <alignment wrapText="1"/>
    </xf>
    <xf numFmtId="0" fontId="20" fillId="0" borderId="16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37" xfId="0" applyFont="1" applyBorder="1" applyAlignment="1">
      <alignment wrapText="1"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35" xfId="0" applyFont="1" applyBorder="1" applyAlignment="1">
      <alignment/>
    </xf>
    <xf numFmtId="49" fontId="20" fillId="0" borderId="30" xfId="0" applyNumberFormat="1" applyFont="1" applyBorder="1" applyAlignment="1">
      <alignment horizontal="center"/>
    </xf>
    <xf numFmtId="0" fontId="20" fillId="2" borderId="37" xfId="0" applyFont="1" applyFill="1" applyBorder="1" applyAlignment="1">
      <alignment wrapText="1"/>
    </xf>
    <xf numFmtId="0" fontId="20" fillId="2" borderId="34" xfId="0" applyFont="1" applyFill="1" applyBorder="1" applyAlignment="1">
      <alignment horizontal="right" wrapText="1"/>
    </xf>
    <xf numFmtId="0" fontId="20" fillId="2" borderId="35" xfId="0" applyFont="1" applyFill="1" applyBorder="1" applyAlignment="1">
      <alignment wrapText="1"/>
    </xf>
    <xf numFmtId="0" fontId="20" fillId="2" borderId="34" xfId="0" applyFont="1" applyFill="1" applyBorder="1" applyAlignment="1">
      <alignment wrapText="1"/>
    </xf>
    <xf numFmtId="0" fontId="19" fillId="2" borderId="38" xfId="0" applyFont="1" applyFill="1" applyBorder="1" applyAlignment="1">
      <alignment/>
    </xf>
    <xf numFmtId="0" fontId="19" fillId="2" borderId="40" xfId="0" applyFont="1" applyFill="1" applyBorder="1" applyAlignment="1">
      <alignment/>
    </xf>
    <xf numFmtId="0" fontId="19" fillId="2" borderId="34" xfId="0" applyFont="1" applyFill="1" applyBorder="1" applyAlignment="1">
      <alignment/>
    </xf>
    <xf numFmtId="0" fontId="19" fillId="2" borderId="35" xfId="0" applyFont="1" applyFill="1" applyBorder="1" applyAlignment="1">
      <alignment/>
    </xf>
    <xf numFmtId="0" fontId="20" fillId="2" borderId="11" xfId="0" applyFont="1" applyFill="1" applyBorder="1" applyAlignment="1">
      <alignment/>
    </xf>
    <xf numFmtId="0" fontId="19" fillId="2" borderId="21" xfId="0" applyFont="1" applyFill="1" applyBorder="1" applyAlignment="1">
      <alignment/>
    </xf>
    <xf numFmtId="0" fontId="20" fillId="0" borderId="41" xfId="0" applyFont="1" applyBorder="1" applyAlignment="1">
      <alignment/>
    </xf>
    <xf numFmtId="2" fontId="20" fillId="0" borderId="42" xfId="0" applyNumberFormat="1" applyFont="1" applyBorder="1" applyAlignment="1">
      <alignment/>
    </xf>
    <xf numFmtId="0" fontId="20" fillId="0" borderId="43" xfId="0" applyFont="1" applyBorder="1" applyAlignment="1">
      <alignment/>
    </xf>
    <xf numFmtId="0" fontId="25" fillId="0" borderId="25" xfId="0" applyFont="1" applyBorder="1" applyAlignment="1">
      <alignment wrapText="1"/>
    </xf>
    <xf numFmtId="2" fontId="20" fillId="0" borderId="44" xfId="0" applyNumberFormat="1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13" xfId="0" applyFont="1" applyBorder="1" applyAlignment="1">
      <alignment/>
    </xf>
    <xf numFmtId="2" fontId="20" fillId="0" borderId="35" xfId="0" applyNumberFormat="1" applyFont="1" applyBorder="1" applyAlignment="1">
      <alignment/>
    </xf>
    <xf numFmtId="2" fontId="20" fillId="0" borderId="37" xfId="0" applyNumberFormat="1" applyFont="1" applyBorder="1" applyAlignment="1">
      <alignment/>
    </xf>
    <xf numFmtId="49" fontId="27" fillId="0" borderId="17" xfId="0" applyNumberFormat="1" applyFont="1" applyBorder="1" applyAlignment="1">
      <alignment horizontal="center"/>
    </xf>
    <xf numFmtId="0" fontId="28" fillId="0" borderId="11" xfId="0" applyFont="1" applyBorder="1" applyAlignment="1">
      <alignment wrapText="1"/>
    </xf>
    <xf numFmtId="0" fontId="27" fillId="0" borderId="12" xfId="0" applyFont="1" applyBorder="1" applyAlignment="1">
      <alignment horizontal="right"/>
    </xf>
    <xf numFmtId="0" fontId="27" fillId="0" borderId="13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44" xfId="0" applyFont="1" applyBorder="1" applyAlignment="1">
      <alignment/>
    </xf>
    <xf numFmtId="2" fontId="27" fillId="0" borderId="24" xfId="0" applyNumberFormat="1" applyFont="1" applyBorder="1" applyAlignment="1">
      <alignment/>
    </xf>
    <xf numFmtId="0" fontId="29" fillId="0" borderId="11" xfId="0" applyFont="1" applyBorder="1" applyAlignment="1">
      <alignment/>
    </xf>
    <xf numFmtId="0" fontId="21" fillId="0" borderId="0" xfId="0" applyFont="1" applyAlignment="1">
      <alignment/>
    </xf>
    <xf numFmtId="0" fontId="27" fillId="0" borderId="36" xfId="0" applyFont="1" applyBorder="1" applyAlignment="1">
      <alignment horizontal="right" wrapText="1"/>
    </xf>
    <xf numFmtId="0" fontId="27" fillId="0" borderId="13" xfId="0" applyFont="1" applyBorder="1" applyAlignment="1">
      <alignment wrapText="1"/>
    </xf>
    <xf numFmtId="0" fontId="27" fillId="0" borderId="16" xfId="0" applyFont="1" applyBorder="1" applyAlignment="1">
      <alignment/>
    </xf>
    <xf numFmtId="2" fontId="27" fillId="0" borderId="13" xfId="0" applyNumberFormat="1" applyFont="1" applyBorder="1" applyAlignment="1">
      <alignment/>
    </xf>
    <xf numFmtId="2" fontId="27" fillId="0" borderId="44" xfId="0" applyNumberFormat="1" applyFont="1" applyBorder="1" applyAlignment="1">
      <alignment/>
    </xf>
    <xf numFmtId="0" fontId="30" fillId="0" borderId="11" xfId="0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PageLayoutView="0" workbookViewId="0" topLeftCell="A5">
      <selection activeCell="P21" sqref="P21"/>
    </sheetView>
  </sheetViews>
  <sheetFormatPr defaultColWidth="9.00390625" defaultRowHeight="12.75"/>
  <cols>
    <col min="1" max="1" width="0.12890625" style="0" customWidth="1"/>
    <col min="2" max="2" width="22.25390625" style="0" customWidth="1"/>
    <col min="3" max="3" width="6.375" style="0" hidden="1" customWidth="1"/>
    <col min="4" max="4" width="9.125" style="0" hidden="1" customWidth="1"/>
    <col min="5" max="6" width="9.00390625" style="0" hidden="1" customWidth="1"/>
    <col min="7" max="7" width="8.625" style="0" hidden="1" customWidth="1"/>
    <col min="8" max="8" width="8.75390625" style="0" hidden="1" customWidth="1"/>
    <col min="9" max="9" width="9.00390625" style="0" hidden="1" customWidth="1"/>
    <col min="10" max="10" width="8.625" style="0" hidden="1" customWidth="1"/>
    <col min="11" max="11" width="8.75390625" style="0" hidden="1" customWidth="1"/>
    <col min="12" max="12" width="8.875" style="0" customWidth="1"/>
    <col min="13" max="13" width="8.375" style="0" customWidth="1"/>
    <col min="14" max="14" width="8.125" style="0" customWidth="1"/>
    <col min="15" max="15" width="7.875" style="0" customWidth="1"/>
    <col min="16" max="16" width="8.375" style="0" customWidth="1"/>
    <col min="17" max="17" width="8.75390625" style="0" customWidth="1"/>
    <col min="18" max="18" width="8.125" style="0" customWidth="1"/>
    <col min="19" max="19" width="8.625" style="0" customWidth="1"/>
    <col min="20" max="20" width="8.125" style="0" customWidth="1"/>
    <col min="21" max="21" width="8.875" style="0" customWidth="1"/>
    <col min="22" max="22" width="8.375" style="0" customWidth="1"/>
    <col min="23" max="23" width="8.875" style="0" customWidth="1"/>
    <col min="24" max="24" width="9.00390625" style="0" customWidth="1"/>
    <col min="25" max="25" width="10.125" style="0" customWidth="1"/>
  </cols>
  <sheetData>
    <row r="1" spans="2:30" ht="12.75" customHeight="1">
      <c r="B1" s="101" t="s">
        <v>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 customHeight="1">
      <c r="B2" s="101" t="s">
        <v>66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ht="12.75" customHeight="1">
      <c r="B3" s="100" t="s">
        <v>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3"/>
      <c r="AA3" s="3"/>
      <c r="AB3" s="3"/>
      <c r="AC3" s="3"/>
      <c r="AD3" s="3"/>
    </row>
    <row r="4" spans="2:30" ht="15" customHeight="1">
      <c r="B4" s="99" t="s">
        <v>10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2"/>
      <c r="AA4" s="2"/>
      <c r="AB4" s="2"/>
      <c r="AC4" s="2"/>
      <c r="AD4" s="2"/>
    </row>
    <row r="5" spans="2:30" ht="16.5" customHeight="1" thickBot="1">
      <c r="B5" s="99" t="s">
        <v>45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2"/>
      <c r="AA5" s="2"/>
      <c r="AB5" s="2"/>
      <c r="AC5" s="2"/>
      <c r="AD5" s="2"/>
    </row>
    <row r="6" spans="1:30" ht="33" customHeight="1" thickBot="1">
      <c r="A6" s="8" t="s">
        <v>27</v>
      </c>
      <c r="B6" s="9" t="s">
        <v>6</v>
      </c>
      <c r="C6" s="10" t="s">
        <v>46</v>
      </c>
      <c r="D6" s="11" t="s">
        <v>47</v>
      </c>
      <c r="E6" s="12" t="s">
        <v>50</v>
      </c>
      <c r="F6" s="12" t="s">
        <v>54</v>
      </c>
      <c r="G6" s="12" t="s">
        <v>55</v>
      </c>
      <c r="H6" s="12" t="s">
        <v>59</v>
      </c>
      <c r="I6" s="12" t="s">
        <v>61</v>
      </c>
      <c r="J6" s="12" t="s">
        <v>68</v>
      </c>
      <c r="K6" s="12" t="s">
        <v>70</v>
      </c>
      <c r="L6" s="13" t="s">
        <v>11</v>
      </c>
      <c r="M6" s="14" t="s">
        <v>12</v>
      </c>
      <c r="N6" s="14" t="s">
        <v>13</v>
      </c>
      <c r="O6" s="14" t="s">
        <v>14</v>
      </c>
      <c r="P6" s="14" t="s">
        <v>15</v>
      </c>
      <c r="Q6" s="14" t="s">
        <v>16</v>
      </c>
      <c r="R6" s="14" t="s">
        <v>17</v>
      </c>
      <c r="S6" s="14" t="s">
        <v>18</v>
      </c>
      <c r="T6" s="14" t="s">
        <v>19</v>
      </c>
      <c r="U6" s="14" t="s">
        <v>20</v>
      </c>
      <c r="V6" s="14" t="s">
        <v>22</v>
      </c>
      <c r="W6" s="15" t="s">
        <v>21</v>
      </c>
      <c r="X6" s="12" t="s">
        <v>75</v>
      </c>
      <c r="Y6" s="16" t="s">
        <v>76</v>
      </c>
      <c r="Z6" s="1"/>
      <c r="AA6" s="1"/>
      <c r="AB6" s="1"/>
      <c r="AC6" s="1"/>
      <c r="AD6" s="1"/>
    </row>
    <row r="7" spans="1:25" ht="13.5" thickBot="1">
      <c r="A7" s="17" t="s">
        <v>28</v>
      </c>
      <c r="B7" s="18" t="s">
        <v>1</v>
      </c>
      <c r="C7" s="19">
        <v>6591.03</v>
      </c>
      <c r="D7" s="20">
        <v>26532.61</v>
      </c>
      <c r="E7" s="21">
        <v>26802.36</v>
      </c>
      <c r="F7" s="20">
        <v>26847.18</v>
      </c>
      <c r="G7" s="20">
        <v>26892</v>
      </c>
      <c r="H7" s="76">
        <v>26892</v>
      </c>
      <c r="I7" s="20">
        <v>26906.94</v>
      </c>
      <c r="J7" s="20">
        <v>26921.88</v>
      </c>
      <c r="K7" s="20">
        <v>26918.56</v>
      </c>
      <c r="L7" s="73">
        <v>2242.66</v>
      </c>
      <c r="M7" s="23">
        <v>2242.66</v>
      </c>
      <c r="N7" s="23">
        <v>2242.66</v>
      </c>
      <c r="O7" s="23">
        <v>2242.66</v>
      </c>
      <c r="P7" s="23">
        <v>2242.66</v>
      </c>
      <c r="Q7" s="23">
        <v>2242.66</v>
      </c>
      <c r="R7" s="23">
        <v>2242.66</v>
      </c>
      <c r="S7" s="23">
        <v>2242.66</v>
      </c>
      <c r="T7" s="23">
        <v>2242.66</v>
      </c>
      <c r="U7" s="23">
        <v>2242.66</v>
      </c>
      <c r="V7" s="23">
        <v>2242.66</v>
      </c>
      <c r="W7" s="23">
        <v>2242.66</v>
      </c>
      <c r="X7" s="25">
        <f aca="true" t="shared" si="0" ref="X7:X13">SUM(L7:W7)</f>
        <v>26911.92</v>
      </c>
      <c r="Y7" s="79">
        <f>SUM(C7:W7)</f>
        <v>248216.48000000004</v>
      </c>
    </row>
    <row r="8" spans="1:25" ht="13.5" thickBot="1">
      <c r="A8" s="17"/>
      <c r="B8" s="18" t="s">
        <v>71</v>
      </c>
      <c r="C8" s="19"/>
      <c r="D8" s="76"/>
      <c r="E8" s="21"/>
      <c r="F8" s="76"/>
      <c r="G8" s="76"/>
      <c r="H8" s="76"/>
      <c r="I8" s="76"/>
      <c r="J8" s="76">
        <v>0</v>
      </c>
      <c r="K8" s="76">
        <v>1528.76</v>
      </c>
      <c r="L8" s="73">
        <f aca="true" t="shared" si="1" ref="L8:Q8">95.61+13.23+11.7</f>
        <v>120.54</v>
      </c>
      <c r="M8" s="23">
        <f t="shared" si="1"/>
        <v>120.54</v>
      </c>
      <c r="N8" s="23">
        <f t="shared" si="1"/>
        <v>120.54</v>
      </c>
      <c r="O8" s="23">
        <f t="shared" si="1"/>
        <v>120.54</v>
      </c>
      <c r="P8" s="23">
        <f t="shared" si="1"/>
        <v>120.54</v>
      </c>
      <c r="Q8" s="23">
        <f t="shared" si="1"/>
        <v>120.54</v>
      </c>
      <c r="R8" s="23">
        <f>100.35+13.31+11.78</f>
        <v>125.44</v>
      </c>
      <c r="S8" s="23">
        <f>13.31+11.78</f>
        <v>25.09</v>
      </c>
      <c r="T8" s="23">
        <f>13.31+11.78</f>
        <v>25.09</v>
      </c>
      <c r="U8" s="23">
        <f>13.31+11.78</f>
        <v>25.09</v>
      </c>
      <c r="V8" s="23">
        <f>13.31+11.78</f>
        <v>25.09</v>
      </c>
      <c r="W8" s="23">
        <f>13.31+11.78</f>
        <v>25.09</v>
      </c>
      <c r="X8" s="25">
        <f t="shared" si="0"/>
        <v>974.1300000000002</v>
      </c>
      <c r="Y8" s="79">
        <f>SUM(C8:W8)</f>
        <v>2502.890000000001</v>
      </c>
    </row>
    <row r="9" spans="1:25" s="92" customFormat="1" ht="13.5" thickBot="1">
      <c r="A9" s="84" t="s">
        <v>29</v>
      </c>
      <c r="B9" s="85" t="s">
        <v>2</v>
      </c>
      <c r="C9" s="86">
        <f aca="true" t="shared" si="2" ref="C9:L9">SUM(C10:C24)</f>
        <v>5824.72</v>
      </c>
      <c r="D9" s="87">
        <f t="shared" si="2"/>
        <v>26908.540000000005</v>
      </c>
      <c r="E9" s="88">
        <f t="shared" si="2"/>
        <v>29647.859999999997</v>
      </c>
      <c r="F9" s="87">
        <f t="shared" si="2"/>
        <v>31368.429999999997</v>
      </c>
      <c r="G9" s="87">
        <f t="shared" si="2"/>
        <v>33353.1</v>
      </c>
      <c r="H9" s="87">
        <f>SUM(H10:H24)</f>
        <v>37084.57</v>
      </c>
      <c r="I9" s="87">
        <f>SUM(I10:I24)</f>
        <v>16523.730000000003</v>
      </c>
      <c r="J9" s="87">
        <f>SUM(J10:J24)</f>
        <v>34364.43</v>
      </c>
      <c r="K9" s="87">
        <f>SUM(K10:K24)</f>
        <v>29895.86</v>
      </c>
      <c r="L9" s="89">
        <f t="shared" si="2"/>
        <v>2136.4</v>
      </c>
      <c r="M9" s="89">
        <f aca="true" t="shared" si="3" ref="M9:W9">SUM(M10:M24)</f>
        <v>2273.68</v>
      </c>
      <c r="N9" s="89">
        <f t="shared" si="3"/>
        <v>2425.84</v>
      </c>
      <c r="O9" s="89">
        <f t="shared" si="3"/>
        <v>2079.7199999999993</v>
      </c>
      <c r="P9" s="89">
        <f t="shared" si="3"/>
        <v>2210.3</v>
      </c>
      <c r="Q9" s="89">
        <f t="shared" si="3"/>
        <v>2150.0899999999997</v>
      </c>
      <c r="R9" s="89">
        <f t="shared" si="3"/>
        <v>2126.04</v>
      </c>
      <c r="S9" s="89">
        <f t="shared" si="3"/>
        <v>6543.29</v>
      </c>
      <c r="T9" s="89">
        <f t="shared" si="3"/>
        <v>2019.5999999999997</v>
      </c>
      <c r="U9" s="89">
        <f t="shared" si="3"/>
        <v>2592.8099999999995</v>
      </c>
      <c r="V9" s="89">
        <f t="shared" si="3"/>
        <v>2209.56</v>
      </c>
      <c r="W9" s="88">
        <f t="shared" si="3"/>
        <v>2111.1800000000003</v>
      </c>
      <c r="X9" s="90">
        <f t="shared" si="0"/>
        <v>30878.51</v>
      </c>
      <c r="Y9" s="91">
        <f>SUM(C9:W9)</f>
        <v>275849.74999999994</v>
      </c>
    </row>
    <row r="10" spans="1:25" ht="13.5" thickBot="1">
      <c r="A10" s="17" t="s">
        <v>30</v>
      </c>
      <c r="B10" s="30" t="s">
        <v>4</v>
      </c>
      <c r="C10" s="31">
        <v>1941.01</v>
      </c>
      <c r="D10" s="32">
        <v>8012.41</v>
      </c>
      <c r="E10" s="33">
        <v>9033.22</v>
      </c>
      <c r="F10" s="32">
        <v>8756.32</v>
      </c>
      <c r="G10" s="32">
        <v>8317.33</v>
      </c>
      <c r="H10" s="32">
        <v>8191.82</v>
      </c>
      <c r="I10" s="32">
        <v>8024.26</v>
      </c>
      <c r="J10" s="32">
        <v>7969.79</v>
      </c>
      <c r="K10" s="32">
        <v>8046.26</v>
      </c>
      <c r="L10" s="74">
        <f>636+24.75</f>
        <v>660.75</v>
      </c>
      <c r="M10" s="34">
        <f>636+27.15</f>
        <v>663.15</v>
      </c>
      <c r="N10" s="34">
        <f>636+19.28</f>
        <v>655.28</v>
      </c>
      <c r="O10" s="34">
        <f>636+54.31</f>
        <v>690.31</v>
      </c>
      <c r="P10" s="34">
        <f>636+50.75</f>
        <v>686.75</v>
      </c>
      <c r="Q10" s="34">
        <f>636+52.12</f>
        <v>688.12</v>
      </c>
      <c r="R10" s="34">
        <f>636+44.48</f>
        <v>680.48</v>
      </c>
      <c r="S10" s="34">
        <f>636+56.23</f>
        <v>692.23</v>
      </c>
      <c r="T10" s="34">
        <f>636+41.8</f>
        <v>677.8</v>
      </c>
      <c r="U10" s="34">
        <f>636+33.92</f>
        <v>669.92</v>
      </c>
      <c r="V10" s="23">
        <f>636+39.37</f>
        <v>675.37</v>
      </c>
      <c r="W10" s="24">
        <f>636+36.19</f>
        <v>672.19</v>
      </c>
      <c r="X10" s="35">
        <f t="shared" si="0"/>
        <v>8112.35</v>
      </c>
      <c r="Y10" s="80">
        <f aca="true" t="shared" si="4" ref="Y10:Y24">SUM(C10:W10)</f>
        <v>76404.76999999997</v>
      </c>
    </row>
    <row r="11" spans="1:25" ht="14.25" customHeight="1" thickBot="1">
      <c r="A11" s="17" t="s">
        <v>31</v>
      </c>
      <c r="B11" s="36" t="s">
        <v>65</v>
      </c>
      <c r="C11" s="37">
        <v>1826.84</v>
      </c>
      <c r="D11" s="38">
        <v>7380.56</v>
      </c>
      <c r="E11" s="39">
        <v>3121.42</v>
      </c>
      <c r="F11" s="38">
        <v>2582.18</v>
      </c>
      <c r="G11" s="38">
        <v>6170.33</v>
      </c>
      <c r="H11" s="38">
        <v>715.3</v>
      </c>
      <c r="I11" s="38">
        <v>1078.46</v>
      </c>
      <c r="J11" s="38">
        <v>20.92</v>
      </c>
      <c r="K11" s="38">
        <v>0</v>
      </c>
      <c r="L11" s="73"/>
      <c r="M11" s="22"/>
      <c r="N11" s="22">
        <v>80</v>
      </c>
      <c r="O11" s="22"/>
      <c r="P11" s="22">
        <v>100</v>
      </c>
      <c r="Q11" s="22"/>
      <c r="R11" s="22"/>
      <c r="S11" s="22"/>
      <c r="T11" s="22"/>
      <c r="U11" s="22"/>
      <c r="V11" s="22"/>
      <c r="W11" s="26"/>
      <c r="X11" s="35">
        <f t="shared" si="0"/>
        <v>180</v>
      </c>
      <c r="Y11" s="81">
        <f t="shared" si="4"/>
        <v>23076.01</v>
      </c>
    </row>
    <row r="12" spans="1:25" ht="21.75" customHeight="1" thickBot="1">
      <c r="A12" s="17" t="s">
        <v>56</v>
      </c>
      <c r="B12" s="36" t="s">
        <v>57</v>
      </c>
      <c r="C12" s="37"/>
      <c r="D12" s="38"/>
      <c r="E12" s="39"/>
      <c r="F12" s="38"/>
      <c r="G12" s="38">
        <v>0</v>
      </c>
      <c r="H12" s="38">
        <v>2942</v>
      </c>
      <c r="I12" s="38">
        <v>0</v>
      </c>
      <c r="J12" s="38">
        <v>9537.8</v>
      </c>
      <c r="K12" s="38">
        <v>3200.1</v>
      </c>
      <c r="L12" s="73"/>
      <c r="M12" s="22"/>
      <c r="N12" s="22"/>
      <c r="O12" s="22"/>
      <c r="P12" s="22"/>
      <c r="Q12" s="22"/>
      <c r="R12" s="22"/>
      <c r="S12" s="22">
        <v>4454.28</v>
      </c>
      <c r="T12" s="22"/>
      <c r="U12" s="22"/>
      <c r="V12" s="22"/>
      <c r="W12" s="26"/>
      <c r="X12" s="35">
        <f t="shared" si="0"/>
        <v>4454.28</v>
      </c>
      <c r="Y12" s="81">
        <f>SUM(C12:W12)</f>
        <v>20134.18</v>
      </c>
    </row>
    <row r="13" spans="1:25" ht="15.75" customHeight="1" thickBot="1">
      <c r="A13" s="17"/>
      <c r="B13" s="36" t="s">
        <v>69</v>
      </c>
      <c r="C13" s="37"/>
      <c r="D13" s="38"/>
      <c r="E13" s="39"/>
      <c r="F13" s="38"/>
      <c r="G13" s="38"/>
      <c r="H13" s="38"/>
      <c r="I13" s="38"/>
      <c r="J13" s="38">
        <v>1200</v>
      </c>
      <c r="K13" s="38">
        <v>400</v>
      </c>
      <c r="L13" s="73"/>
      <c r="M13" s="22"/>
      <c r="N13" s="22"/>
      <c r="O13" s="22"/>
      <c r="P13" s="22"/>
      <c r="Q13" s="22"/>
      <c r="R13" s="22"/>
      <c r="S13" s="22"/>
      <c r="T13" s="22"/>
      <c r="U13" s="22">
        <v>400</v>
      </c>
      <c r="V13" s="22"/>
      <c r="W13" s="26"/>
      <c r="X13" s="35">
        <f t="shared" si="0"/>
        <v>400</v>
      </c>
      <c r="Y13" s="81">
        <f>SUM(C13:W13)</f>
        <v>2000</v>
      </c>
    </row>
    <row r="14" spans="1:25" ht="12.75" customHeight="1" thickBot="1">
      <c r="A14" s="17" t="s">
        <v>32</v>
      </c>
      <c r="B14" s="36" t="s">
        <v>58</v>
      </c>
      <c r="C14" s="37">
        <v>824.52</v>
      </c>
      <c r="D14" s="38">
        <v>884.23</v>
      </c>
      <c r="E14" s="39">
        <v>20.33</v>
      </c>
      <c r="F14" s="38">
        <v>1040.03</v>
      </c>
      <c r="G14" s="38">
        <v>0</v>
      </c>
      <c r="H14" s="38">
        <v>6557.76</v>
      </c>
      <c r="I14" s="38">
        <v>-5293.53</v>
      </c>
      <c r="J14" s="38">
        <v>642.5</v>
      </c>
      <c r="K14" s="38">
        <v>560</v>
      </c>
      <c r="L14" s="73"/>
      <c r="M14" s="22"/>
      <c r="N14" s="22"/>
      <c r="O14" s="22"/>
      <c r="P14" s="22"/>
      <c r="Q14" s="22"/>
      <c r="R14" s="22"/>
      <c r="S14" s="22"/>
      <c r="T14" s="22"/>
      <c r="U14" s="22"/>
      <c r="V14" s="22">
        <v>45</v>
      </c>
      <c r="W14" s="26"/>
      <c r="X14" s="35">
        <f aca="true" t="shared" si="5" ref="X14:X26">SUM(L14:W14)</f>
        <v>45</v>
      </c>
      <c r="Y14" s="81">
        <f t="shared" si="4"/>
        <v>5280.839999999999</v>
      </c>
    </row>
    <row r="15" spans="1:25" ht="25.5" customHeight="1" thickBot="1">
      <c r="A15" s="17" t="s">
        <v>33</v>
      </c>
      <c r="B15" s="36" t="s">
        <v>52</v>
      </c>
      <c r="C15" s="37">
        <v>0</v>
      </c>
      <c r="D15" s="38">
        <v>0</v>
      </c>
      <c r="E15" s="39">
        <v>0</v>
      </c>
      <c r="F15" s="38">
        <v>256</v>
      </c>
      <c r="G15" s="38">
        <v>0</v>
      </c>
      <c r="H15" s="38">
        <v>6.3</v>
      </c>
      <c r="I15" s="38">
        <v>52.96</v>
      </c>
      <c r="J15" s="38">
        <v>51</v>
      </c>
      <c r="K15" s="38">
        <v>383.72</v>
      </c>
      <c r="L15" s="73"/>
      <c r="M15" s="22">
        <v>78</v>
      </c>
      <c r="N15" s="22"/>
      <c r="O15" s="22"/>
      <c r="P15" s="22"/>
      <c r="Q15" s="22"/>
      <c r="R15" s="22"/>
      <c r="S15" s="22"/>
      <c r="T15" s="22"/>
      <c r="U15" s="22"/>
      <c r="V15" s="22"/>
      <c r="W15" s="26"/>
      <c r="X15" s="35">
        <f t="shared" si="5"/>
        <v>78</v>
      </c>
      <c r="Y15" s="81">
        <f t="shared" si="4"/>
        <v>827.98</v>
      </c>
    </row>
    <row r="16" spans="1:25" ht="12" customHeight="1" thickBot="1">
      <c r="A16" s="17" t="s">
        <v>34</v>
      </c>
      <c r="B16" s="36" t="s">
        <v>72</v>
      </c>
      <c r="C16" s="37">
        <v>875.6</v>
      </c>
      <c r="D16" s="38">
        <v>2400.21</v>
      </c>
      <c r="E16" s="39">
        <v>1407.36</v>
      </c>
      <c r="F16" s="38">
        <v>596.04</v>
      </c>
      <c r="G16" s="38">
        <v>0</v>
      </c>
      <c r="H16" s="38"/>
      <c r="I16" s="38">
        <v>0</v>
      </c>
      <c r="J16" s="38">
        <v>0</v>
      </c>
      <c r="K16" s="38">
        <v>1325.28</v>
      </c>
      <c r="L16" s="73">
        <v>95.61</v>
      </c>
      <c r="M16" s="22">
        <v>95.61</v>
      </c>
      <c r="N16" s="22">
        <v>95.61</v>
      </c>
      <c r="O16" s="22">
        <v>95.61</v>
      </c>
      <c r="P16" s="22">
        <v>95.61</v>
      </c>
      <c r="Q16" s="22">
        <v>95.61</v>
      </c>
      <c r="R16" s="22">
        <v>100.35</v>
      </c>
      <c r="S16" s="22"/>
      <c r="T16" s="22"/>
      <c r="U16" s="22"/>
      <c r="V16" s="22"/>
      <c r="W16" s="26"/>
      <c r="X16" s="29">
        <f t="shared" si="5"/>
        <v>674.01</v>
      </c>
      <c r="Y16" s="80">
        <f t="shared" si="4"/>
        <v>7278.499999999998</v>
      </c>
    </row>
    <row r="17" spans="1:25" ht="15.75" customHeight="1" thickBot="1">
      <c r="A17" s="17"/>
      <c r="B17" s="36" t="s">
        <v>73</v>
      </c>
      <c r="C17" s="37"/>
      <c r="D17" s="38"/>
      <c r="E17" s="39"/>
      <c r="F17" s="38"/>
      <c r="G17" s="38"/>
      <c r="H17" s="38"/>
      <c r="I17" s="38"/>
      <c r="J17" s="38"/>
      <c r="K17" s="38">
        <v>126.29</v>
      </c>
      <c r="L17" s="73">
        <v>13.23</v>
      </c>
      <c r="M17" s="22">
        <v>13.23</v>
      </c>
      <c r="N17" s="22">
        <v>13.23</v>
      </c>
      <c r="O17" s="22">
        <v>13.23</v>
      </c>
      <c r="P17" s="22">
        <v>13.23</v>
      </c>
      <c r="Q17" s="22">
        <v>13.23</v>
      </c>
      <c r="R17" s="22">
        <v>13.31</v>
      </c>
      <c r="S17" s="22">
        <v>13.31</v>
      </c>
      <c r="T17" s="22">
        <v>13.31</v>
      </c>
      <c r="U17" s="22">
        <v>13.31</v>
      </c>
      <c r="V17" s="22">
        <v>13.31</v>
      </c>
      <c r="W17" s="22">
        <v>13.31</v>
      </c>
      <c r="X17" s="35">
        <f>SUM(L17:W17)</f>
        <v>159.24</v>
      </c>
      <c r="Y17" s="78">
        <f>SUM(C17:W17)</f>
        <v>285.53</v>
      </c>
    </row>
    <row r="18" spans="1:25" ht="15.75" customHeight="1" thickBot="1">
      <c r="A18" s="17"/>
      <c r="B18" s="36" t="s">
        <v>74</v>
      </c>
      <c r="C18" s="37"/>
      <c r="D18" s="38"/>
      <c r="E18" s="39"/>
      <c r="F18" s="38"/>
      <c r="G18" s="38"/>
      <c r="H18" s="38"/>
      <c r="I18" s="38"/>
      <c r="J18" s="38"/>
      <c r="K18" s="38">
        <v>81.49</v>
      </c>
      <c r="L18" s="73">
        <v>11.68</v>
      </c>
      <c r="M18" s="22">
        <v>11.68</v>
      </c>
      <c r="N18" s="22">
        <v>11.68</v>
      </c>
      <c r="O18" s="22">
        <v>11.68</v>
      </c>
      <c r="P18" s="22">
        <v>11.68</v>
      </c>
      <c r="Q18" s="22">
        <v>11.68</v>
      </c>
      <c r="R18" s="22">
        <v>11.79</v>
      </c>
      <c r="S18" s="22">
        <v>11.79</v>
      </c>
      <c r="T18" s="22">
        <v>11.79</v>
      </c>
      <c r="U18" s="22">
        <v>11.79</v>
      </c>
      <c r="V18" s="22">
        <v>11.79</v>
      </c>
      <c r="W18" s="22">
        <v>11.79</v>
      </c>
      <c r="X18" s="29">
        <f>SUM(L18:W18)</f>
        <v>140.81999999999996</v>
      </c>
      <c r="Y18" s="80">
        <f>SUM(C18:W18)</f>
        <v>222.30999999999997</v>
      </c>
    </row>
    <row r="19" spans="1:25" ht="14.25" customHeight="1" thickBot="1">
      <c r="A19" s="17" t="s">
        <v>35</v>
      </c>
      <c r="B19" s="36" t="s">
        <v>5</v>
      </c>
      <c r="C19" s="37">
        <v>34.53</v>
      </c>
      <c r="D19" s="38">
        <v>221.4</v>
      </c>
      <c r="E19" s="39">
        <v>123.25</v>
      </c>
      <c r="F19" s="38">
        <v>101.39</v>
      </c>
      <c r="G19" s="38">
        <v>116.84</v>
      </c>
      <c r="H19" s="38"/>
      <c r="I19" s="38">
        <v>0</v>
      </c>
      <c r="J19" s="38">
        <v>0</v>
      </c>
      <c r="K19" s="38">
        <v>0</v>
      </c>
      <c r="L19" s="73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6"/>
      <c r="X19" s="35">
        <f t="shared" si="5"/>
        <v>0</v>
      </c>
      <c r="Y19" s="81">
        <f>SUM(C19:W19)</f>
        <v>597.41</v>
      </c>
    </row>
    <row r="20" spans="1:25" ht="32.25" customHeight="1" thickBot="1">
      <c r="A20" s="17" t="s">
        <v>36</v>
      </c>
      <c r="B20" s="36" t="s">
        <v>62</v>
      </c>
      <c r="C20" s="37">
        <v>0</v>
      </c>
      <c r="D20" s="38">
        <v>365.41</v>
      </c>
      <c r="E20" s="39">
        <v>1306.63</v>
      </c>
      <c r="F20" s="38">
        <v>1679.61</v>
      </c>
      <c r="G20" s="38">
        <v>1461.14</v>
      </c>
      <c r="H20" s="38">
        <v>1100.21</v>
      </c>
      <c r="I20" s="38">
        <v>1298.44</v>
      </c>
      <c r="J20" s="38">
        <v>1373.72</v>
      </c>
      <c r="K20" s="38">
        <v>1395.47</v>
      </c>
      <c r="L20" s="73">
        <v>121.69</v>
      </c>
      <c r="M20" s="22">
        <v>111.63</v>
      </c>
      <c r="N20" s="22">
        <v>148.88</v>
      </c>
      <c r="O20" s="22">
        <v>116.09</v>
      </c>
      <c r="P20" s="22">
        <v>97.64</v>
      </c>
      <c r="Q20" s="22">
        <v>141.52</v>
      </c>
      <c r="R20" s="22">
        <v>115.12</v>
      </c>
      <c r="S20" s="22">
        <f>117.73</f>
        <v>117.73</v>
      </c>
      <c r="T20" s="22">
        <v>96.76</v>
      </c>
      <c r="U20" s="22">
        <v>145.24</v>
      </c>
      <c r="V20" s="22">
        <v>128.41</v>
      </c>
      <c r="W20" s="26">
        <v>125.39</v>
      </c>
      <c r="X20" s="29">
        <f t="shared" si="5"/>
        <v>1466.1000000000001</v>
      </c>
      <c r="Y20" s="80">
        <f t="shared" si="4"/>
        <v>11446.729999999998</v>
      </c>
    </row>
    <row r="21" spans="1:25" ht="21" customHeight="1" thickBot="1">
      <c r="A21" s="17" t="s">
        <v>37</v>
      </c>
      <c r="B21" s="36" t="s">
        <v>63</v>
      </c>
      <c r="C21" s="37">
        <v>128.02</v>
      </c>
      <c r="D21" s="38">
        <v>656.59</v>
      </c>
      <c r="E21" s="39">
        <v>711.34</v>
      </c>
      <c r="F21" s="38">
        <v>213.65</v>
      </c>
      <c r="G21" s="38">
        <v>152.19</v>
      </c>
      <c r="H21" s="38">
        <v>330.98</v>
      </c>
      <c r="I21" s="38">
        <v>223.77</v>
      </c>
      <c r="J21" s="38">
        <v>195.44</v>
      </c>
      <c r="K21" s="38">
        <v>152.65</v>
      </c>
      <c r="L21" s="73">
        <v>12.03</v>
      </c>
      <c r="M21" s="22">
        <v>8.07</v>
      </c>
      <c r="N21" s="22">
        <v>5.73</v>
      </c>
      <c r="O21" s="22">
        <v>8.06</v>
      </c>
      <c r="P21" s="22">
        <v>7.48</v>
      </c>
      <c r="Q21" s="22">
        <v>8.92</v>
      </c>
      <c r="R21" s="22">
        <v>27.28</v>
      </c>
      <c r="S21" s="22">
        <v>6.98</v>
      </c>
      <c r="T21" s="22">
        <f>8.65</f>
        <v>8.65</v>
      </c>
      <c r="U21" s="22">
        <v>7.49</v>
      </c>
      <c r="V21" s="22">
        <v>35.81</v>
      </c>
      <c r="W21" s="26">
        <v>11.38</v>
      </c>
      <c r="X21" s="35">
        <f t="shared" si="5"/>
        <v>147.88</v>
      </c>
      <c r="Y21" s="81">
        <f t="shared" si="4"/>
        <v>2912.510000000001</v>
      </c>
    </row>
    <row r="22" spans="1:25" ht="35.25" customHeight="1" thickBot="1">
      <c r="A22" s="17" t="s">
        <v>38</v>
      </c>
      <c r="B22" s="36" t="s">
        <v>64</v>
      </c>
      <c r="C22" s="37">
        <v>0</v>
      </c>
      <c r="D22" s="38">
        <v>262.43</v>
      </c>
      <c r="E22" s="39">
        <v>1130.16</v>
      </c>
      <c r="F22" s="38">
        <v>1111.06</v>
      </c>
      <c r="G22" s="38">
        <v>1492.81</v>
      </c>
      <c r="H22" s="38">
        <v>1283.37</v>
      </c>
      <c r="I22" s="38">
        <v>1674.23</v>
      </c>
      <c r="J22" s="38">
        <v>1429.46</v>
      </c>
      <c r="K22" s="38">
        <v>1454.86</v>
      </c>
      <c r="L22" s="73">
        <f>6.02+43.05+66.51</f>
        <v>115.58</v>
      </c>
      <c r="M22" s="22">
        <f>63.14+6.6+58.24</f>
        <v>127.97999999999999</v>
      </c>
      <c r="N22" s="22">
        <f>63.95+6.54+63.2</f>
        <v>133.69</v>
      </c>
      <c r="O22" s="22">
        <f>67.37+6.63+49.24</f>
        <v>123.24000000000001</v>
      </c>
      <c r="P22" s="22">
        <f>81.68+5.95+38.42</f>
        <v>126.05000000000001</v>
      </c>
      <c r="Q22" s="22">
        <f>65.6+5.58+36.67</f>
        <v>107.85</v>
      </c>
      <c r="R22" s="22">
        <f>6.28+42.61+82.78</f>
        <v>131.67000000000002</v>
      </c>
      <c r="S22" s="22">
        <f>6.67+64.75+64.18</f>
        <v>135.60000000000002</v>
      </c>
      <c r="T22" s="22">
        <f>74.77+5.25+50.08</f>
        <v>130.1</v>
      </c>
      <c r="U22" s="22">
        <f>7.01+90.11+72.89</f>
        <v>170.01</v>
      </c>
      <c r="V22" s="22">
        <f>5.74+50.26+104.42</f>
        <v>160.42000000000002</v>
      </c>
      <c r="W22" s="26">
        <f>94.81+6.64+85.07</f>
        <v>186.51999999999998</v>
      </c>
      <c r="X22" s="29">
        <f t="shared" si="5"/>
        <v>1648.71</v>
      </c>
      <c r="Y22" s="80">
        <f t="shared" si="4"/>
        <v>11487.090000000002</v>
      </c>
    </row>
    <row r="23" spans="1:25" ht="12" customHeight="1" thickBot="1">
      <c r="A23" s="17" t="s">
        <v>39</v>
      </c>
      <c r="B23" s="36" t="s">
        <v>9</v>
      </c>
      <c r="C23" s="37">
        <v>130.98</v>
      </c>
      <c r="D23" s="38">
        <v>5896.92</v>
      </c>
      <c r="E23" s="39">
        <v>11047.03</v>
      </c>
      <c r="F23" s="38">
        <v>13953.99</v>
      </c>
      <c r="G23" s="38">
        <v>14748.87</v>
      </c>
      <c r="H23" s="38">
        <v>15097.79</v>
      </c>
      <c r="I23" s="38">
        <v>8526.32</v>
      </c>
      <c r="J23" s="38">
        <v>11024.76</v>
      </c>
      <c r="K23" s="38">
        <v>10961.61</v>
      </c>
      <c r="L23" s="73">
        <f>2136.4-1099.7</f>
        <v>1036.7</v>
      </c>
      <c r="M23" s="22">
        <f>2273.68-1199.21</f>
        <v>1074.4699999999998</v>
      </c>
      <c r="N23" s="22">
        <f>2425.84-1322.12</f>
        <v>1103.7200000000003</v>
      </c>
      <c r="O23" s="22">
        <f>2079.72-1137.38</f>
        <v>942.3399999999997</v>
      </c>
      <c r="P23" s="22">
        <f>2210.3-1207.33</f>
        <v>1002.9700000000003</v>
      </c>
      <c r="Q23" s="22">
        <f>2150.09-1156.36</f>
        <v>993.7300000000002</v>
      </c>
      <c r="R23" s="22">
        <f>2126.04-1159.16</f>
        <v>966.8799999999999</v>
      </c>
      <c r="S23" s="22">
        <f>6443.29-5531.37+100</f>
        <v>1011.9200000000001</v>
      </c>
      <c r="T23" s="22">
        <f>1919.6-1004.52+100</f>
        <v>1015.0799999999999</v>
      </c>
      <c r="U23" s="22">
        <f>2392.81-1553.17+200</f>
        <v>1039.6399999999999</v>
      </c>
      <c r="V23" s="22">
        <f>2609.56-1155.74-400</f>
        <v>1053.82</v>
      </c>
      <c r="W23" s="26">
        <f>2111.27-1075.21-0.09</f>
        <v>1035.97</v>
      </c>
      <c r="X23" s="35">
        <f t="shared" si="5"/>
        <v>12277.24</v>
      </c>
      <c r="Y23" s="81">
        <f t="shared" si="4"/>
        <v>103665.51</v>
      </c>
    </row>
    <row r="24" spans="1:25" ht="13.5" customHeight="1" thickBot="1">
      <c r="A24" s="17" t="s">
        <v>53</v>
      </c>
      <c r="B24" s="40" t="s">
        <v>3</v>
      </c>
      <c r="C24" s="41">
        <v>63.22</v>
      </c>
      <c r="D24" s="42">
        <v>828.38</v>
      </c>
      <c r="E24" s="43">
        <v>1747.12</v>
      </c>
      <c r="F24" s="42">
        <v>1078.16</v>
      </c>
      <c r="G24" s="42">
        <v>893.59</v>
      </c>
      <c r="H24" s="42">
        <v>859.04</v>
      </c>
      <c r="I24" s="42">
        <v>938.82</v>
      </c>
      <c r="J24" s="42">
        <v>919.04</v>
      </c>
      <c r="K24" s="42">
        <v>1808.13</v>
      </c>
      <c r="L24" s="75">
        <f>3.53+65.6</f>
        <v>69.13</v>
      </c>
      <c r="M24" s="44">
        <f>4.58+85.28</f>
        <v>89.86</v>
      </c>
      <c r="N24" s="44">
        <f>9.06+168.96</f>
        <v>178.02</v>
      </c>
      <c r="O24" s="44">
        <f>4.04+75.12</f>
        <v>79.16000000000001</v>
      </c>
      <c r="P24" s="44">
        <f>3.51+65.38</f>
        <v>68.89</v>
      </c>
      <c r="Q24" s="44">
        <f>4.56+84.87</f>
        <v>89.43</v>
      </c>
      <c r="R24" s="44">
        <f>4.04+75.12</f>
        <v>79.16000000000001</v>
      </c>
      <c r="S24" s="44">
        <f>5.25+94.2</f>
        <v>99.45</v>
      </c>
      <c r="T24" s="44">
        <f>0.73+65.38</f>
        <v>66.11</v>
      </c>
      <c r="U24" s="44">
        <f>2.71+132.7</f>
        <v>135.41</v>
      </c>
      <c r="V24" s="44">
        <f>0.95+84.68</f>
        <v>85.63000000000001</v>
      </c>
      <c r="W24" s="45">
        <f>0.6+54.03</f>
        <v>54.63</v>
      </c>
      <c r="X24" s="29">
        <f t="shared" si="5"/>
        <v>1094.88</v>
      </c>
      <c r="Y24" s="80">
        <f t="shared" si="4"/>
        <v>10230.38</v>
      </c>
    </row>
    <row r="25" spans="1:25" ht="13.5" customHeight="1" thickBot="1">
      <c r="A25" s="17"/>
      <c r="B25" s="51" t="s">
        <v>60</v>
      </c>
      <c r="C25" s="47"/>
      <c r="D25" s="48"/>
      <c r="E25" s="49"/>
      <c r="F25" s="48"/>
      <c r="G25" s="48"/>
      <c r="H25" s="27">
        <f>H7*5%</f>
        <v>1344.6000000000001</v>
      </c>
      <c r="I25" s="35">
        <f>I7*5%</f>
        <v>1345.347</v>
      </c>
      <c r="J25" s="82">
        <f>J7*5%</f>
        <v>1346.094</v>
      </c>
      <c r="K25" s="83">
        <f>K7*5%</f>
        <v>1345.928</v>
      </c>
      <c r="L25" s="83">
        <f>L7*5%</f>
        <v>112.133</v>
      </c>
      <c r="M25" s="82">
        <f aca="true" t="shared" si="6" ref="M25:W25">M7*5%</f>
        <v>112.133</v>
      </c>
      <c r="N25" s="82">
        <f t="shared" si="6"/>
        <v>112.133</v>
      </c>
      <c r="O25" s="82">
        <f t="shared" si="6"/>
        <v>112.133</v>
      </c>
      <c r="P25" s="82">
        <f t="shared" si="6"/>
        <v>112.133</v>
      </c>
      <c r="Q25" s="82">
        <f t="shared" si="6"/>
        <v>112.133</v>
      </c>
      <c r="R25" s="82">
        <f t="shared" si="6"/>
        <v>112.133</v>
      </c>
      <c r="S25" s="82">
        <f t="shared" si="6"/>
        <v>112.133</v>
      </c>
      <c r="T25" s="82">
        <f t="shared" si="6"/>
        <v>112.133</v>
      </c>
      <c r="U25" s="82">
        <f t="shared" si="6"/>
        <v>112.133</v>
      </c>
      <c r="V25" s="82">
        <f t="shared" si="6"/>
        <v>112.133</v>
      </c>
      <c r="W25" s="82">
        <f t="shared" si="6"/>
        <v>112.133</v>
      </c>
      <c r="X25" s="35">
        <f t="shared" si="5"/>
        <v>1345.5960000000002</v>
      </c>
      <c r="Y25" s="78"/>
    </row>
    <row r="26" spans="1:25" ht="13.5" customHeight="1" thickBot="1">
      <c r="A26" s="17" t="s">
        <v>40</v>
      </c>
      <c r="B26" s="46" t="s">
        <v>51</v>
      </c>
      <c r="C26" s="47"/>
      <c r="D26" s="48"/>
      <c r="E26" s="49"/>
      <c r="F26" s="48"/>
      <c r="G26" s="48"/>
      <c r="H26" s="48"/>
      <c r="I26" s="48"/>
      <c r="J26" s="48"/>
      <c r="K26" s="35">
        <f aca="true" t="shared" si="7" ref="K26:W26">SUM(K7+K8-K9)-K25</f>
        <v>-2794.4680000000008</v>
      </c>
      <c r="L26" s="77">
        <f t="shared" si="7"/>
        <v>114.66699999999973</v>
      </c>
      <c r="M26" s="77">
        <f t="shared" si="7"/>
        <v>-22.613000000000014</v>
      </c>
      <c r="N26" s="77">
        <f t="shared" si="7"/>
        <v>-174.7730000000003</v>
      </c>
      <c r="O26" s="77">
        <f t="shared" si="7"/>
        <v>171.3470000000005</v>
      </c>
      <c r="P26" s="77">
        <f t="shared" si="7"/>
        <v>40.76699999999964</v>
      </c>
      <c r="Q26" s="77">
        <f t="shared" si="7"/>
        <v>100.97700000000013</v>
      </c>
      <c r="R26" s="77">
        <f t="shared" si="7"/>
        <v>129.92699999999996</v>
      </c>
      <c r="S26" s="77">
        <f t="shared" si="7"/>
        <v>-4387.673</v>
      </c>
      <c r="T26" s="77">
        <f t="shared" si="7"/>
        <v>136.01700000000034</v>
      </c>
      <c r="U26" s="77">
        <f t="shared" si="7"/>
        <v>-437.1929999999995</v>
      </c>
      <c r="V26" s="77">
        <f t="shared" si="7"/>
        <v>-53.94299999999994</v>
      </c>
      <c r="W26" s="77">
        <f t="shared" si="7"/>
        <v>44.43699999999971</v>
      </c>
      <c r="X26" s="35">
        <f t="shared" si="5"/>
        <v>-4338.056</v>
      </c>
      <c r="Y26" s="78"/>
    </row>
    <row r="27" spans="1:25" ht="24" customHeight="1" thickBot="1">
      <c r="A27" s="84" t="s">
        <v>41</v>
      </c>
      <c r="B27" s="94" t="s">
        <v>23</v>
      </c>
      <c r="C27" s="93"/>
      <c r="D27" s="94">
        <v>-375.92</v>
      </c>
      <c r="E27" s="95">
        <f>SUM(E7-E9)</f>
        <v>-2845.4999999999964</v>
      </c>
      <c r="F27" s="87">
        <f>SUM(F7-F9)</f>
        <v>-4521.249999999996</v>
      </c>
      <c r="G27" s="87">
        <f>SUM(G7-G9)</f>
        <v>-6461.0999999999985</v>
      </c>
      <c r="H27" s="87">
        <f>SUM(H7-H9)-H25</f>
        <v>-11537.17</v>
      </c>
      <c r="I27" s="96">
        <f>SUM(I7-I9)-I25</f>
        <v>9037.862999999996</v>
      </c>
      <c r="J27" s="96">
        <f>SUM(J7-J9)-J25</f>
        <v>-8788.644</v>
      </c>
      <c r="K27" s="96">
        <f>SUM(K7+K8-K9)-K25</f>
        <v>-2794.4680000000008</v>
      </c>
      <c r="L27" s="97">
        <f>SUM(L7+L8-L9)-L25</f>
        <v>114.66699999999973</v>
      </c>
      <c r="M27" s="97">
        <f>SUM(M26+L27)</f>
        <v>92.05399999999972</v>
      </c>
      <c r="N27" s="97">
        <f aca="true" t="shared" si="8" ref="N27:W27">SUM(N26+M27)</f>
        <v>-82.71900000000059</v>
      </c>
      <c r="O27" s="97">
        <f t="shared" si="8"/>
        <v>88.6279999999999</v>
      </c>
      <c r="P27" s="97">
        <f t="shared" si="8"/>
        <v>129.39499999999953</v>
      </c>
      <c r="Q27" s="97">
        <f t="shared" si="8"/>
        <v>230.37199999999967</v>
      </c>
      <c r="R27" s="97">
        <f t="shared" si="8"/>
        <v>360.29899999999964</v>
      </c>
      <c r="S27" s="97">
        <f t="shared" si="8"/>
        <v>-4027.3740000000003</v>
      </c>
      <c r="T27" s="97">
        <f t="shared" si="8"/>
        <v>-3891.357</v>
      </c>
      <c r="U27" s="97">
        <f t="shared" si="8"/>
        <v>-4328.549999999999</v>
      </c>
      <c r="V27" s="97">
        <f t="shared" si="8"/>
        <v>-4382.4929999999995</v>
      </c>
      <c r="W27" s="97">
        <f t="shared" si="8"/>
        <v>-4338.056</v>
      </c>
      <c r="X27" s="87"/>
      <c r="Y27" s="98"/>
    </row>
    <row r="28" spans="1:25" ht="24" customHeight="1" hidden="1" thickBot="1">
      <c r="A28" s="17" t="s">
        <v>42</v>
      </c>
      <c r="B28" s="53" t="s">
        <v>24</v>
      </c>
      <c r="C28" s="50"/>
      <c r="D28" s="51">
        <v>390.39</v>
      </c>
      <c r="E28" s="56">
        <f>SUM(E7-E9,D28)</f>
        <v>-2455.1099999999965</v>
      </c>
      <c r="F28" s="27">
        <f>SUM(F7-F9,E28)</f>
        <v>-6976.359999999993</v>
      </c>
      <c r="G28" s="27">
        <f>SUM(G7-G9,F28)</f>
        <v>-13437.459999999992</v>
      </c>
      <c r="H28" s="27">
        <f>SUM(H27+G28)</f>
        <v>-24974.62999999999</v>
      </c>
      <c r="I28" s="35">
        <f>SUM(I27+H28)</f>
        <v>-15936.766999999994</v>
      </c>
      <c r="J28" s="35">
        <f>SUM(J27+I28)</f>
        <v>-24725.410999999993</v>
      </c>
      <c r="K28" s="35">
        <f>SUM(K27+J28)</f>
        <v>-27519.878999999994</v>
      </c>
      <c r="L28" s="35">
        <f>SUM(L27+K28)</f>
        <v>-27405.211999999992</v>
      </c>
      <c r="M28" s="35">
        <f>SUM(M26+L28)</f>
        <v>-27427.824999999993</v>
      </c>
      <c r="N28" s="35">
        <f aca="true" t="shared" si="9" ref="N28:V28">SUM(N26+M28)</f>
        <v>-27602.597999999994</v>
      </c>
      <c r="O28" s="35">
        <f t="shared" si="9"/>
        <v>-27431.250999999993</v>
      </c>
      <c r="P28" s="35">
        <f t="shared" si="9"/>
        <v>-27390.483999999993</v>
      </c>
      <c r="Q28" s="35">
        <f t="shared" si="9"/>
        <v>-27289.506999999994</v>
      </c>
      <c r="R28" s="35">
        <f t="shared" si="9"/>
        <v>-27159.579999999994</v>
      </c>
      <c r="S28" s="35">
        <f t="shared" si="9"/>
        <v>-31547.252999999993</v>
      </c>
      <c r="T28" s="35">
        <f t="shared" si="9"/>
        <v>-31411.235999999994</v>
      </c>
      <c r="U28" s="35">
        <f t="shared" si="9"/>
        <v>-31848.428999999993</v>
      </c>
      <c r="V28" s="35">
        <f t="shared" si="9"/>
        <v>-31902.371999999992</v>
      </c>
      <c r="W28" s="35">
        <f>SUM(W26+V28)</f>
        <v>-31857.934999999994</v>
      </c>
      <c r="X28" s="27"/>
      <c r="Y28" s="78"/>
    </row>
    <row r="29" spans="1:25" ht="12.75" customHeight="1" hidden="1" thickBot="1">
      <c r="A29" s="17" t="s">
        <v>42</v>
      </c>
      <c r="B29" s="51" t="s">
        <v>7</v>
      </c>
      <c r="C29" s="54"/>
      <c r="D29" s="51"/>
      <c r="E29" s="55"/>
      <c r="F29" s="55"/>
      <c r="G29" s="55"/>
      <c r="H29" s="55"/>
      <c r="I29" s="55"/>
      <c r="J29" s="55"/>
      <c r="K29" s="55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56"/>
      <c r="X29" s="27"/>
      <c r="Y29" s="57"/>
    </row>
    <row r="30" spans="1:25" ht="15" customHeight="1" hidden="1" thickBot="1">
      <c r="A30" s="17" t="s">
        <v>43</v>
      </c>
      <c r="B30" s="58" t="s">
        <v>25</v>
      </c>
      <c r="C30" s="47"/>
      <c r="D30" s="48"/>
      <c r="E30" s="49"/>
      <c r="F30" s="49"/>
      <c r="G30" s="49"/>
      <c r="H30" s="49"/>
      <c r="I30" s="49"/>
      <c r="J30" s="49"/>
      <c r="K30" s="4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60"/>
      <c r="X30" s="61"/>
      <c r="Y30" s="52"/>
    </row>
    <row r="31" spans="1:25" ht="18.75" customHeight="1" hidden="1" thickBot="1">
      <c r="A31" s="62" t="s">
        <v>44</v>
      </c>
      <c r="B31" s="63" t="s">
        <v>49</v>
      </c>
      <c r="C31" s="64"/>
      <c r="D31" s="65"/>
      <c r="E31" s="66"/>
      <c r="F31" s="66"/>
      <c r="G31" s="66"/>
      <c r="H31" s="66"/>
      <c r="I31" s="66"/>
      <c r="J31" s="66"/>
      <c r="K31" s="66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9">
        <f>SUM(W27-W29)</f>
        <v>-4338.056</v>
      </c>
      <c r="X31" s="70"/>
      <c r="Y31" s="71"/>
    </row>
    <row r="32" spans="1:25" ht="24" customHeight="1" hidden="1" thickBot="1">
      <c r="A32" s="62" t="s">
        <v>48</v>
      </c>
      <c r="B32" s="63" t="s">
        <v>26</v>
      </c>
      <c r="C32" s="64"/>
      <c r="D32" s="65"/>
      <c r="E32" s="66"/>
      <c r="F32" s="5"/>
      <c r="G32" s="5"/>
      <c r="H32" s="5"/>
      <c r="I32" s="5"/>
      <c r="J32" s="5"/>
      <c r="K32" s="5"/>
      <c r="L32" s="72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9">
        <f>SUM(W28-W29)</f>
        <v>-31857.934999999994</v>
      </c>
      <c r="X32" s="70"/>
      <c r="Y32" s="71"/>
    </row>
    <row r="33" spans="2:25" ht="0.75" customHeight="1" hidden="1"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7"/>
    </row>
    <row r="34" spans="12:25" ht="24" customHeight="1" hidden="1"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7"/>
    </row>
    <row r="35" ht="12.75" hidden="1"/>
    <row r="36" ht="12.75" hidden="1"/>
    <row r="37" ht="12.75" hidden="1"/>
    <row r="38" ht="12.75" hidden="1"/>
    <row r="39" ht="12.75">
      <c r="B39" t="s">
        <v>67</v>
      </c>
    </row>
    <row r="43" ht="12.75" customHeight="1"/>
    <row r="44" ht="12.75" customHeight="1"/>
  </sheetData>
  <sheetProtection/>
  <mergeCells count="5">
    <mergeCell ref="B4:Y4"/>
    <mergeCell ref="B5:Y5"/>
    <mergeCell ref="B3:Y3"/>
    <mergeCell ref="B1:N1"/>
    <mergeCell ref="B2:T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2019-02-08T11:58:39Z</cp:lastPrinted>
  <dcterms:created xsi:type="dcterms:W3CDTF">2011-06-16T11:06:26Z</dcterms:created>
  <dcterms:modified xsi:type="dcterms:W3CDTF">2019-02-12T11:41:46Z</dcterms:modified>
  <cp:category/>
  <cp:version/>
  <cp:contentType/>
  <cp:contentStatus/>
</cp:coreProperties>
</file>