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<sst xmlns="http://schemas.openxmlformats.org/spreadsheetml/2006/main" count="69" uniqueCount="68">
  <si>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СПРАВКА</t>
  </si>
  <si>
    <t xml:space="preserve">Начислено  </t>
  </si>
  <si>
    <t>Расходы</t>
  </si>
  <si>
    <t>Услуги РИРЦ</t>
  </si>
  <si>
    <t>Вывоз ТБО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</si>
  <si>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</si>
  <si>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</si>
  <si>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</si>
  <si>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</si>
  <si>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</si>
  <si>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</si>
  <si>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</si>
  <si>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</si>
  <si>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</si>
  <si>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</si>
  <si>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</si>
  <si>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</si>
  <si>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</si>
  <si>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</si>
  <si>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</si>
  <si>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</si>
  <si>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</si>
  <si>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</si>
  <si>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</si>
  <si>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</si>
  <si>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</si>
  <si>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</si>
  <si>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</si>
  <si>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</si>
  <si>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</si>
  <si>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</si>
  <si>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</si>
  <si>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</si>
  <si>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4.6</t>
  </si>
  <si>
    <t>4.8</t>
  </si>
  <si>
    <t>4.10</t>
  </si>
  <si>
    <t>4.11</t>
  </si>
  <si>
    <t>5</t>
  </si>
  <si>
    <t>6</t>
  </si>
  <si>
    <t>7</t>
  </si>
  <si>
    <t>8</t>
  </si>
  <si>
    <t>9</t>
  </si>
  <si>
    <t>по жилому дому г. Унеча пер.Мира д.10</t>
  </si>
  <si>
    <t>за 2010г</t>
  </si>
  <si>
    <t>10</t>
  </si>
  <si>
    <t>Финансовый результат по дому с начала года</t>
  </si>
  <si>
    <t>Итого за 2011</t>
  </si>
  <si>
    <t>Результат за месяц</t>
  </si>
  <si>
    <t>Исполнитель /Викторова Л.С./</t>
  </si>
  <si>
    <t>Итого за 2012</t>
  </si>
  <si>
    <t>Благоустройство территории</t>
  </si>
  <si>
    <t xml:space="preserve">Материалы </t>
  </si>
  <si>
    <t>4.12</t>
  </si>
  <si>
    <t>4.13</t>
  </si>
  <si>
    <t>4.14</t>
  </si>
  <si>
    <t>Итого за 2013</t>
  </si>
  <si>
    <t>Итого за 2014</t>
  </si>
  <si>
    <t>рентабельность 5%</t>
  </si>
  <si>
    <t>Итого за 2015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</si>
  <si>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</si>
  <si>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</si>
  <si>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</si>
  <si>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</si>
  <si>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Дом по  пер.Мира д.10 вступил в ООО "Наш дом" с  апреля 2010 года                                                                   тариф 9,2 руб</t>
  </si>
  <si>
    <t>Итого за 2016</t>
  </si>
  <si>
    <t>Итого за 2017</t>
  </si>
  <si>
    <t>Итого за 2018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</si>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</sst>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4" xfId="0" applyFont="1" applyBorder="1" applyAlignment="1">
      <alignment/>
    </xf>
    <xf numFmtId="0" fontId="2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0" fontId="0" fillId="2" borderId="25" xfId="0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5" xfId="0" applyFont="1" applyBorder="1" applyAlignment="1">
      <alignment horizontal="left" vertical="center" wrapText="1"/>
    </xf>
    <xf numFmtId="0" fontId="21" fillId="0" borderId="33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2" borderId="35" xfId="0" applyFont="1" applyFill="1" applyBorder="1" applyAlignment="1">
      <alignment wrapText="1"/>
    </xf>
    <xf numFmtId="2" fontId="21" fillId="0" borderId="36" xfId="0" applyNumberFormat="1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0" fontId="24" fillId="0" borderId="32" xfId="0" applyFont="1" applyBorder="1" applyAlignment="1">
      <alignment wrapText="1"/>
    </xf>
    <xf numFmtId="0" fontId="21" fillId="0" borderId="25" xfId="0" applyFont="1" applyBorder="1" applyAlignment="1">
      <alignment/>
    </xf>
    <xf numFmtId="0" fontId="25" fillId="0" borderId="32" xfId="0" applyFont="1" applyBorder="1" applyAlignment="1">
      <alignment/>
    </xf>
    <xf numFmtId="0" fontId="19" fillId="0" borderId="2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49" fontId="25" fillId="0" borderId="37" xfId="0" applyNumberFormat="1" applyFont="1" applyBorder="1" applyAlignment="1">
      <alignment horizontal="right"/>
    </xf>
    <xf numFmtId="49" fontId="25" fillId="0" borderId="25" xfId="0" applyNumberFormat="1" applyFont="1" applyBorder="1" applyAlignment="1">
      <alignment horizontal="right"/>
    </xf>
    <xf numFmtId="0" fontId="21" fillId="0" borderId="32" xfId="0" applyFont="1" applyBorder="1" applyAlignment="1">
      <alignment/>
    </xf>
    <xf numFmtId="0" fontId="21" fillId="0" borderId="26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4" fillId="0" borderId="39" xfId="0" applyFont="1" applyBorder="1" applyAlignment="1">
      <alignment wrapText="1"/>
    </xf>
    <xf numFmtId="2" fontId="21" fillId="0" borderId="40" xfId="0" applyNumberFormat="1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2" fontId="21" fillId="0" borderId="25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0" fontId="24" fillId="0" borderId="36" xfId="0" applyFont="1" applyBorder="1" applyAlignment="1">
      <alignment wrapText="1"/>
    </xf>
    <xf numFmtId="2" fontId="21" fillId="0" borderId="35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6" fillId="0" borderId="25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11" xfId="0" applyFont="1" applyBorder="1" applyAlignment="1">
      <alignment/>
    </xf>
    <xf numFmtId="0" fontId="27" fillId="0" borderId="25" xfId="0" applyFont="1" applyBorder="1" applyAlignment="1">
      <alignment/>
    </xf>
    <xf numFmtId="0" fontId="22" fillId="0" borderId="0" xfId="0" applyFont="1" applyAlignment="1">
      <alignment/>
    </xf>
    <xf numFmtId="0" fontId="26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44" xfId="0" applyNumberFormat="1" applyBorder="1" applyAlignment="1">
      <alignment horizontal="center"/>
    </xf>
    <xf numFmtId="0" fontId="21" fillId="0" borderId="45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2" fontId="21" fillId="0" borderId="47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49" fontId="0" fillId="0" borderId="36" xfId="0" applyNumberFormat="1" applyBorder="1" applyAlignment="1">
      <alignment horizontal="center"/>
    </xf>
    <xf numFmtId="0" fontId="21" fillId="0" borderId="26" xfId="0" applyFont="1" applyBorder="1" applyAlignment="1">
      <alignment/>
    </xf>
    <xf numFmtId="0" fontId="25" fillId="0" borderId="35" xfId="0" applyFont="1" applyBorder="1" applyAlignment="1">
      <alignment/>
    </xf>
    <xf numFmtId="49" fontId="22" fillId="0" borderId="25" xfId="0" applyNumberFormat="1" applyFont="1" applyBorder="1" applyAlignment="1">
      <alignment horizontal="center"/>
    </xf>
    <xf numFmtId="2" fontId="26" fillId="0" borderId="25" xfId="0" applyNumberFormat="1" applyFont="1" applyBorder="1" applyAlignment="1">
      <alignment/>
    </xf>
    <xf numFmtId="2" fontId="26" fillId="0" borderId="38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4">
      <selection activeCell="A22" sqref="A22:X22"/>
    </sheetView>
  </sheetViews>
  <sheetFormatPr defaultColWidth="9.00390625" defaultRowHeight="12.75"/>
  <cols>
    <col min="1" max="1" width="4.25390625" style="31" customWidth="1"/>
    <col min="2" max="2" width="18.125" style="0" customWidth="1"/>
    <col min="3" max="3" width="7.00390625" style="0" hidden="1" customWidth="1"/>
    <col min="4" max="4" width="6.75390625" style="0" hidden="1" customWidth="1"/>
    <col min="5" max="5" width="9.375" style="0" hidden="1" customWidth="1"/>
    <col min="6" max="6" width="9.00390625" style="0" hidden="1" customWidth="1"/>
    <col min="7" max="7" width="9.375" style="0" hidden="1" customWidth="1"/>
    <col min="8" max="8" width="9.125" style="0" hidden="1" customWidth="1"/>
    <col min="9" max="9" width="8.375" style="0" hidden="1" customWidth="1"/>
    <col min="10" max="10" width="8.625" style="0" hidden="1" customWidth="1"/>
    <col min="11" max="11" width="8.125" style="0" customWidth="1"/>
    <col min="12" max="12" width="9.25390625" style="0" customWidth="1"/>
    <col min="13" max="13" width="9.00390625" style="0" customWidth="1"/>
    <col min="14" max="14" width="7.75390625" style="0" customWidth="1"/>
    <col min="15" max="15" width="7.875" style="0" customWidth="1"/>
    <col min="16" max="16" width="8.25390625" style="0" customWidth="1"/>
    <col min="17" max="17" width="7.875" style="0" customWidth="1"/>
    <col min="18" max="19" width="8.875" style="0" customWidth="1"/>
    <col min="20" max="20" width="8.375" style="0" customWidth="1"/>
    <col min="21" max="21" width="8.25390625" style="0" customWidth="1"/>
    <col min="22" max="22" width="8.75390625" style="0" customWidth="1"/>
    <col min="23" max="23" width="8.875" style="0" customWidth="1"/>
    <col min="24" max="24" width="10.125" style="0" customWidth="1"/>
  </cols>
  <sheetData>
    <row r="1" spans="2:29" ht="12.75" customHeight="1">
      <c r="B1" s="83" t="s">
        <v>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49"/>
      <c r="X2" s="4"/>
      <c r="Y2" s="4"/>
      <c r="Z2" s="4"/>
      <c r="AA2" s="4"/>
      <c r="AB2" s="4"/>
      <c r="AC2" s="4"/>
    </row>
    <row r="3" spans="2:29" ht="12.75" customHeight="1"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3"/>
      <c r="Z3" s="3"/>
      <c r="AA3" s="3"/>
      <c r="AB3" s="3"/>
      <c r="AC3" s="3"/>
    </row>
    <row r="4" spans="2:29" ht="15" customHeight="1">
      <c r="B4" s="81" t="s">
        <v>10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2"/>
      <c r="Z4" s="2"/>
      <c r="AA4" s="2"/>
      <c r="AB4" s="2"/>
      <c r="AC4" s="2"/>
    </row>
    <row r="5" spans="2:29" ht="16.5" customHeight="1">
      <c r="B5" s="81" t="s">
        <v>42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2"/>
      <c r="Z5" s="2"/>
      <c r="AA5" s="2"/>
      <c r="AB5" s="2"/>
      <c r="AC5" s="2"/>
    </row>
    <row r="6" spans="2:29" ht="16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43.5" customHeight="1" thickBot="1">
      <c r="A7" s="39" t="s">
        <v>27</v>
      </c>
      <c r="B7" s="32" t="s">
        <v>6</v>
      </c>
      <c r="C7" s="42" t="s">
        <v>43</v>
      </c>
      <c r="D7" s="53" t="s">
        <v>46</v>
      </c>
      <c r="E7" s="53" t="s">
        <v>49</v>
      </c>
      <c r="F7" s="53" t="s">
        <v>55</v>
      </c>
      <c r="G7" s="53" t="s">
        <v>56</v>
      </c>
      <c r="H7" s="53" t="s">
        <v>58</v>
      </c>
      <c r="I7" s="53" t="s">
        <v>64</v>
      </c>
      <c r="J7" s="53" t="s">
        <v>65</v>
      </c>
      <c r="K7" s="6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  <c r="U7" s="5" t="s">
        <v>22</v>
      </c>
      <c r="V7" s="17" t="s">
        <v>21</v>
      </c>
      <c r="W7" s="53" t="s">
        <v>66</v>
      </c>
      <c r="X7" s="23" t="s">
        <v>67</v>
      </c>
      <c r="Y7" s="1"/>
      <c r="Z7" s="1"/>
      <c r="AA7" s="1"/>
      <c r="AB7" s="1"/>
      <c r="AC7" s="1"/>
    </row>
    <row r="8" spans="1:24" ht="13.5" thickBot="1">
      <c r="A8" s="40" t="s">
        <v>28</v>
      </c>
      <c r="B8" s="33" t="s">
        <v>1</v>
      </c>
      <c r="C8" s="50">
        <v>21152.64</v>
      </c>
      <c r="D8" s="63">
        <v>27842.88</v>
      </c>
      <c r="E8" s="50">
        <v>27842.88</v>
      </c>
      <c r="F8" s="50">
        <v>27842.88</v>
      </c>
      <c r="G8" s="70">
        <v>27780.32</v>
      </c>
      <c r="H8" s="50">
        <v>27655.2</v>
      </c>
      <c r="I8" s="50">
        <v>27655.2</v>
      </c>
      <c r="J8" s="70">
        <v>27655.2</v>
      </c>
      <c r="K8" s="7">
        <v>2304.6</v>
      </c>
      <c r="L8" s="8">
        <v>2304.6</v>
      </c>
      <c r="M8" s="8">
        <v>2304.6</v>
      </c>
      <c r="N8" s="8">
        <v>2304.6</v>
      </c>
      <c r="O8" s="8">
        <v>2304.6</v>
      </c>
      <c r="P8" s="8">
        <v>2304.6</v>
      </c>
      <c r="Q8" s="8">
        <v>2304.6</v>
      </c>
      <c r="R8" s="8">
        <v>2304.6</v>
      </c>
      <c r="S8" s="8">
        <v>2304.6</v>
      </c>
      <c r="T8" s="8">
        <v>2304.6</v>
      </c>
      <c r="U8" s="8">
        <v>2304.6</v>
      </c>
      <c r="V8" s="18">
        <v>2304.6</v>
      </c>
      <c r="W8" s="59">
        <f>SUM(K8:V8)</f>
        <v>27655.199999999993</v>
      </c>
      <c r="X8" s="52">
        <f>SUM(C8:V8)</f>
        <v>243082.4000000001</v>
      </c>
    </row>
    <row r="9" spans="1:24" s="78" customFormat="1" ht="13.5" thickBot="1">
      <c r="A9" s="72" t="s">
        <v>29</v>
      </c>
      <c r="B9" s="73" t="s">
        <v>2</v>
      </c>
      <c r="C9" s="74">
        <f aca="true" t="shared" si="0" ref="C9:K9">SUM(C10:C19)</f>
        <v>15895.030000000004</v>
      </c>
      <c r="D9" s="75">
        <f t="shared" si="0"/>
        <v>29427.4</v>
      </c>
      <c r="E9" s="74">
        <f t="shared" si="0"/>
        <v>26400.07</v>
      </c>
      <c r="F9" s="74">
        <f t="shared" si="0"/>
        <v>26534.1</v>
      </c>
      <c r="G9" s="74">
        <f t="shared" si="0"/>
        <v>26311.66</v>
      </c>
      <c r="H9" s="74">
        <f>SUM(H10:H19)</f>
        <v>27443.54</v>
      </c>
      <c r="I9" s="74">
        <f>SUM(I10:I19)</f>
        <v>26416.090000000004</v>
      </c>
      <c r="J9" s="74">
        <f>SUM(J10:J19)</f>
        <v>26795.79</v>
      </c>
      <c r="K9" s="76">
        <f t="shared" si="0"/>
        <v>2393.65</v>
      </c>
      <c r="L9" s="76">
        <f aca="true" t="shared" si="1" ref="L9:V9">SUM(L10:L19)</f>
        <v>2291.68</v>
      </c>
      <c r="M9" s="76">
        <f t="shared" si="1"/>
        <v>2256.48</v>
      </c>
      <c r="N9" s="76">
        <f t="shared" si="1"/>
        <v>2286.69</v>
      </c>
      <c r="O9" s="76">
        <f t="shared" si="1"/>
        <v>2531.87</v>
      </c>
      <c r="P9" s="76">
        <f t="shared" si="1"/>
        <v>2249.6999999999994</v>
      </c>
      <c r="Q9" s="76">
        <f t="shared" si="1"/>
        <v>2325.11</v>
      </c>
      <c r="R9" s="76">
        <f t="shared" si="1"/>
        <v>2362.26</v>
      </c>
      <c r="S9" s="76">
        <f t="shared" si="1"/>
        <v>2146.1200000000003</v>
      </c>
      <c r="T9" s="76">
        <f t="shared" si="1"/>
        <v>2242.49</v>
      </c>
      <c r="U9" s="76">
        <f t="shared" si="1"/>
        <v>2355.14</v>
      </c>
      <c r="V9" s="75">
        <f t="shared" si="1"/>
        <v>2527.23</v>
      </c>
      <c r="W9" s="74">
        <f>SUM(K9:V9)</f>
        <v>27968.419999999995</v>
      </c>
      <c r="X9" s="77">
        <f>SUM(C9:V9)</f>
        <v>233192.10000000003</v>
      </c>
    </row>
    <row r="10" spans="1:24" ht="13.5" thickBot="1">
      <c r="A10" s="40" t="s">
        <v>30</v>
      </c>
      <c r="B10" s="34" t="s">
        <v>4</v>
      </c>
      <c r="C10" s="48">
        <v>4340.71</v>
      </c>
      <c r="D10" s="64">
        <v>6702.59</v>
      </c>
      <c r="E10" s="48">
        <v>7414.65</v>
      </c>
      <c r="F10" s="48">
        <v>8492.26</v>
      </c>
      <c r="G10" s="48">
        <v>8578.08</v>
      </c>
      <c r="H10" s="48">
        <v>7771.63</v>
      </c>
      <c r="I10" s="48">
        <v>7364.35</v>
      </c>
      <c r="J10" s="48">
        <v>7386.37</v>
      </c>
      <c r="K10" s="7">
        <f>583+22.85</f>
        <v>605.85</v>
      </c>
      <c r="L10" s="8">
        <f>583+25.06</f>
        <v>608.06</v>
      </c>
      <c r="M10" s="8">
        <f>583+17.8</f>
        <v>600.8</v>
      </c>
      <c r="N10" s="8">
        <f>583+50.14</f>
        <v>633.14</v>
      </c>
      <c r="O10" s="8">
        <f>583+75.73</f>
        <v>658.73</v>
      </c>
      <c r="P10" s="8">
        <f>583+48.11</f>
        <v>631.11</v>
      </c>
      <c r="Q10" s="8">
        <f>583+41.06</f>
        <v>624.06</v>
      </c>
      <c r="R10" s="8">
        <f>583+51.91</f>
        <v>634.91</v>
      </c>
      <c r="S10" s="8">
        <f>583+38.58</f>
        <v>621.58</v>
      </c>
      <c r="T10" s="8">
        <f>583+31.31</f>
        <v>614.31</v>
      </c>
      <c r="U10" s="8">
        <f>583+36.34</f>
        <v>619.34</v>
      </c>
      <c r="V10" s="18">
        <f>583+33.41</f>
        <v>616.41</v>
      </c>
      <c r="W10" s="54">
        <f aca="true" t="shared" si="2" ref="W10:W21">SUM(K10:V10)</f>
        <v>7468.299999999999</v>
      </c>
      <c r="X10" s="57">
        <f>SUM(C10:V10)</f>
        <v>65518.94</v>
      </c>
    </row>
    <row r="11" spans="1:24" ht="17.25" customHeight="1" thickBot="1">
      <c r="A11" s="40" t="s">
        <v>31</v>
      </c>
      <c r="B11" s="35" t="s">
        <v>62</v>
      </c>
      <c r="C11" s="43">
        <v>4076.05</v>
      </c>
      <c r="D11" s="65">
        <v>7612.25</v>
      </c>
      <c r="E11" s="43">
        <v>1307.95</v>
      </c>
      <c r="F11" s="43">
        <v>6.56</v>
      </c>
      <c r="G11" s="43"/>
      <c r="H11" s="43">
        <v>0</v>
      </c>
      <c r="I11" s="43">
        <v>19.31</v>
      </c>
      <c r="J11" s="43">
        <v>0</v>
      </c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9"/>
      <c r="W11" s="51">
        <f>SUM(K11:V11)</f>
        <v>0</v>
      </c>
      <c r="X11" s="58">
        <f>SUM(C11:V11)</f>
        <v>13022.119999999999</v>
      </c>
    </row>
    <row r="12" spans="1:24" ht="15.75" customHeight="1" thickBot="1">
      <c r="A12" s="40" t="s">
        <v>32</v>
      </c>
      <c r="B12" s="35" t="s">
        <v>51</v>
      </c>
      <c r="C12" s="43">
        <v>94.12</v>
      </c>
      <c r="D12" s="65">
        <v>121.54</v>
      </c>
      <c r="E12" s="43">
        <v>116.02</v>
      </c>
      <c r="F12" s="43">
        <v>0</v>
      </c>
      <c r="G12" s="43">
        <v>80.81</v>
      </c>
      <c r="H12" s="43">
        <v>352.23</v>
      </c>
      <c r="I12" s="43">
        <v>899.26</v>
      </c>
      <c r="J12" s="43">
        <v>900</v>
      </c>
      <c r="K12" s="9">
        <v>45</v>
      </c>
      <c r="L12" s="10"/>
      <c r="M12" s="10"/>
      <c r="N12" s="10"/>
      <c r="O12" s="10">
        <v>300</v>
      </c>
      <c r="P12" s="10"/>
      <c r="Q12" s="10"/>
      <c r="R12" s="10">
        <v>90</v>
      </c>
      <c r="S12" s="10"/>
      <c r="T12" s="10"/>
      <c r="U12" s="10"/>
      <c r="V12" s="19">
        <v>100</v>
      </c>
      <c r="W12" s="51">
        <f t="shared" si="2"/>
        <v>535</v>
      </c>
      <c r="X12" s="58">
        <f aca="true" t="shared" si="3" ref="X12:X19">SUM(C12:V12)</f>
        <v>3098.98</v>
      </c>
    </row>
    <row r="13" spans="1:24" ht="22.5" customHeight="1" thickBot="1">
      <c r="A13" s="40" t="s">
        <v>33</v>
      </c>
      <c r="B13" s="35" t="s">
        <v>50</v>
      </c>
      <c r="C13" s="43">
        <v>0</v>
      </c>
      <c r="D13" s="65">
        <v>0</v>
      </c>
      <c r="E13" s="43">
        <v>256</v>
      </c>
      <c r="F13" s="43">
        <v>0</v>
      </c>
      <c r="G13" s="43">
        <v>6.3</v>
      </c>
      <c r="H13" s="43">
        <v>0</v>
      </c>
      <c r="I13" s="43">
        <v>51</v>
      </c>
      <c r="J13" s="43">
        <v>0</v>
      </c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9"/>
      <c r="W13" s="51">
        <f t="shared" si="2"/>
        <v>0</v>
      </c>
      <c r="X13" s="58">
        <f t="shared" si="3"/>
        <v>313.3</v>
      </c>
    </row>
    <row r="14" spans="1:24" ht="24.75" customHeight="1" thickBot="1">
      <c r="A14" s="40" t="s">
        <v>34</v>
      </c>
      <c r="B14" s="35" t="s">
        <v>5</v>
      </c>
      <c r="C14" s="43">
        <v>128.09</v>
      </c>
      <c r="D14" s="65">
        <v>0</v>
      </c>
      <c r="E14" s="43">
        <v>0</v>
      </c>
      <c r="F14" s="43">
        <v>0</v>
      </c>
      <c r="G14" s="43"/>
      <c r="H14" s="43">
        <v>0</v>
      </c>
      <c r="I14" s="43">
        <v>0</v>
      </c>
      <c r="J14" s="43">
        <v>0</v>
      </c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9"/>
      <c r="W14" s="51">
        <f t="shared" si="2"/>
        <v>0</v>
      </c>
      <c r="X14" s="58">
        <f t="shared" si="3"/>
        <v>128.09</v>
      </c>
    </row>
    <row r="15" spans="1:24" ht="32.25" customHeight="1" thickBot="1">
      <c r="A15" s="40" t="s">
        <v>35</v>
      </c>
      <c r="B15" s="35" t="s">
        <v>59</v>
      </c>
      <c r="C15" s="43">
        <v>346.79</v>
      </c>
      <c r="D15" s="65">
        <v>1224.57</v>
      </c>
      <c r="E15" s="43">
        <v>1845.19</v>
      </c>
      <c r="F15" s="43">
        <v>1670.91</v>
      </c>
      <c r="G15" s="43">
        <v>1024.9</v>
      </c>
      <c r="H15" s="43">
        <v>1203.9</v>
      </c>
      <c r="I15" s="43">
        <v>1273.1</v>
      </c>
      <c r="J15" s="43">
        <v>1293.42</v>
      </c>
      <c r="K15" s="9">
        <v>112.81</v>
      </c>
      <c r="L15" s="10">
        <v>103.49</v>
      </c>
      <c r="M15" s="10">
        <v>138.02</v>
      </c>
      <c r="N15" s="10">
        <v>107.63</v>
      </c>
      <c r="O15" s="10">
        <v>90.52</v>
      </c>
      <c r="P15" s="10">
        <v>131.2</v>
      </c>
      <c r="Q15" s="10">
        <v>106.73</v>
      </c>
      <c r="R15" s="10">
        <v>109.14</v>
      </c>
      <c r="S15" s="10">
        <v>89.7</v>
      </c>
      <c r="T15" s="10">
        <v>134.65</v>
      </c>
      <c r="U15" s="10">
        <v>119.04</v>
      </c>
      <c r="V15" s="19">
        <v>116.25</v>
      </c>
      <c r="W15" s="54">
        <f t="shared" si="2"/>
        <v>1359.18</v>
      </c>
      <c r="X15" s="57">
        <f t="shared" si="3"/>
        <v>11241.960000000001</v>
      </c>
    </row>
    <row r="16" spans="1:24" ht="33.75" customHeight="1" thickBot="1">
      <c r="A16" s="40" t="s">
        <v>36</v>
      </c>
      <c r="B16" s="35" t="s">
        <v>60</v>
      </c>
      <c r="C16" s="43">
        <v>570.7</v>
      </c>
      <c r="D16" s="65">
        <v>666.61</v>
      </c>
      <c r="E16" s="43">
        <v>199.97</v>
      </c>
      <c r="F16" s="43">
        <v>142.14</v>
      </c>
      <c r="G16" s="43">
        <v>308.39</v>
      </c>
      <c r="H16" s="43">
        <v>207.48</v>
      </c>
      <c r="I16" s="43">
        <v>181.12</v>
      </c>
      <c r="J16" s="43">
        <v>141.48</v>
      </c>
      <c r="K16" s="9">
        <v>11.15</v>
      </c>
      <c r="L16" s="10">
        <v>7.49</v>
      </c>
      <c r="M16" s="10">
        <v>5.32</v>
      </c>
      <c r="N16" s="10">
        <v>7.47</v>
      </c>
      <c r="O16" s="10">
        <v>6.94</v>
      </c>
      <c r="P16" s="10">
        <v>8.27</v>
      </c>
      <c r="Q16" s="10">
        <v>25.29</v>
      </c>
      <c r="R16" s="10">
        <v>6.48</v>
      </c>
      <c r="S16" s="10">
        <v>8.02</v>
      </c>
      <c r="T16" s="10">
        <v>6.94</v>
      </c>
      <c r="U16" s="10">
        <v>33.2</v>
      </c>
      <c r="V16" s="19">
        <v>10.55</v>
      </c>
      <c r="W16" s="51">
        <f t="shared" si="2"/>
        <v>137.12</v>
      </c>
      <c r="X16" s="58">
        <f t="shared" si="3"/>
        <v>2555.0099999999998</v>
      </c>
    </row>
    <row r="17" spans="1:24" ht="33" customHeight="1" thickBot="1">
      <c r="A17" s="40" t="s">
        <v>52</v>
      </c>
      <c r="B17" s="35" t="s">
        <v>61</v>
      </c>
      <c r="C17" s="43">
        <v>186.9</v>
      </c>
      <c r="D17" s="65">
        <v>1081.22</v>
      </c>
      <c r="E17" s="43">
        <v>1039.4</v>
      </c>
      <c r="F17" s="43">
        <v>1394.37</v>
      </c>
      <c r="G17" s="43">
        <v>1194.94</v>
      </c>
      <c r="H17" s="43">
        <v>1557.97</v>
      </c>
      <c r="I17" s="43">
        <v>1321.2</v>
      </c>
      <c r="J17" s="43">
        <v>1395.37</v>
      </c>
      <c r="K17" s="9">
        <f>5.58+39.91+61.66</f>
        <v>107.14999999999999</v>
      </c>
      <c r="L17" s="10">
        <f>58.54+6.12+53.99</f>
        <v>118.65</v>
      </c>
      <c r="M17" s="10">
        <f>59.29+6.06+58.6</f>
        <v>123.94999999999999</v>
      </c>
      <c r="N17" s="10">
        <f>62.46+6.14+45.65</f>
        <v>114.25</v>
      </c>
      <c r="O17" s="10">
        <f>75.73+5.52+35.62</f>
        <v>116.87</v>
      </c>
      <c r="P17" s="10">
        <f>60.82+5.18+33.99</f>
        <v>99.99000000000001</v>
      </c>
      <c r="Q17" s="10">
        <f>5.83+39.5+76.75</f>
        <v>122.08</v>
      </c>
      <c r="R17" s="10">
        <f>6.19+60.03+59.5</f>
        <v>125.72</v>
      </c>
      <c r="S17" s="10">
        <f>69.32+4.87+46.42</f>
        <v>120.61</v>
      </c>
      <c r="T17" s="10">
        <f>6.5+83.54+67.57</f>
        <v>157.61</v>
      </c>
      <c r="U17" s="10">
        <f>5.32+46.6+96.8</f>
        <v>148.72</v>
      </c>
      <c r="V17" s="19">
        <f>87.9+6.16+78.86</f>
        <v>172.92000000000002</v>
      </c>
      <c r="W17" s="54">
        <f t="shared" si="2"/>
        <v>1528.5200000000002</v>
      </c>
      <c r="X17" s="57">
        <f t="shared" si="3"/>
        <v>10699.89</v>
      </c>
    </row>
    <row r="18" spans="1:24" ht="15.75" customHeight="1" thickBot="1">
      <c r="A18" s="40" t="s">
        <v>53</v>
      </c>
      <c r="B18" s="35" t="s">
        <v>9</v>
      </c>
      <c r="C18" s="43">
        <v>5414.55</v>
      </c>
      <c r="D18" s="65">
        <v>10353.27</v>
      </c>
      <c r="E18" s="43">
        <v>13055.85</v>
      </c>
      <c r="F18" s="43">
        <v>13776.54</v>
      </c>
      <c r="G18" s="43">
        <v>14068.69</v>
      </c>
      <c r="H18" s="43">
        <v>15306.09</v>
      </c>
      <c r="I18" s="43">
        <v>14262.51</v>
      </c>
      <c r="J18" s="43">
        <v>14634.91</v>
      </c>
      <c r="K18" s="9">
        <f>2393.65-968.98</f>
        <v>1424.67</v>
      </c>
      <c r="L18" s="10">
        <f>2291.68-924.71</f>
        <v>1366.9699999999998</v>
      </c>
      <c r="M18" s="10">
        <f>2256.48-955.11</f>
        <v>1301.37</v>
      </c>
      <c r="N18" s="10">
        <f>2286.69-949.51</f>
        <v>1337.18</v>
      </c>
      <c r="O18" s="10">
        <f>2531.87-1260.08</f>
        <v>1271.79</v>
      </c>
      <c r="P18" s="10">
        <f>2249.7-957.59</f>
        <v>1292.1099999999997</v>
      </c>
      <c r="Q18" s="10">
        <f>2325.11-965.18</f>
        <v>1359.9300000000003</v>
      </c>
      <c r="R18" s="10">
        <f>2362.26-1053.27</f>
        <v>1308.9900000000002</v>
      </c>
      <c r="S18" s="10">
        <f>2146.12-926.93</f>
        <v>1219.19</v>
      </c>
      <c r="T18" s="10">
        <f>2242.49-1000.53</f>
        <v>1241.9599999999998</v>
      </c>
      <c r="U18" s="10">
        <f>2355.14-1007.32</f>
        <v>1347.8199999999997</v>
      </c>
      <c r="V18" s="19">
        <f>2527.23-1103.15</f>
        <v>1424.08</v>
      </c>
      <c r="W18" s="51">
        <f t="shared" si="2"/>
        <v>15896.06</v>
      </c>
      <c r="X18" s="58">
        <f t="shared" si="3"/>
        <v>116768.47000000002</v>
      </c>
    </row>
    <row r="19" spans="1:24" ht="15" customHeight="1" thickBot="1">
      <c r="A19" s="40" t="s">
        <v>54</v>
      </c>
      <c r="B19" s="36" t="s">
        <v>3</v>
      </c>
      <c r="C19" s="44">
        <v>737.12</v>
      </c>
      <c r="D19" s="66">
        <v>1665.35</v>
      </c>
      <c r="E19" s="44">
        <v>1165.04</v>
      </c>
      <c r="F19" s="44">
        <v>1051.32</v>
      </c>
      <c r="G19" s="44">
        <v>1049.55</v>
      </c>
      <c r="H19" s="44">
        <v>1044.24</v>
      </c>
      <c r="I19" s="44">
        <v>1044.24</v>
      </c>
      <c r="J19" s="44">
        <v>1044.24</v>
      </c>
      <c r="K19" s="11">
        <v>87.02</v>
      </c>
      <c r="L19" s="12">
        <v>87.02</v>
      </c>
      <c r="M19" s="12">
        <v>87.02</v>
      </c>
      <c r="N19" s="12">
        <v>87.02</v>
      </c>
      <c r="O19" s="12">
        <f>87.02</f>
        <v>87.02</v>
      </c>
      <c r="P19" s="12">
        <v>87.02</v>
      </c>
      <c r="Q19" s="12">
        <v>87.02</v>
      </c>
      <c r="R19" s="12">
        <v>87.02</v>
      </c>
      <c r="S19" s="12">
        <v>87.02</v>
      </c>
      <c r="T19" s="12">
        <v>87.02</v>
      </c>
      <c r="U19" s="12">
        <v>87.02</v>
      </c>
      <c r="V19" s="20">
        <v>87.02</v>
      </c>
      <c r="W19" s="54">
        <f t="shared" si="2"/>
        <v>1044.24</v>
      </c>
      <c r="X19" s="57">
        <f t="shared" si="3"/>
        <v>9845.340000000006</v>
      </c>
    </row>
    <row r="20" spans="1:24" ht="13.5" customHeight="1" thickBot="1">
      <c r="A20" s="40"/>
      <c r="B20" s="37" t="s">
        <v>57</v>
      </c>
      <c r="C20" s="46"/>
      <c r="D20" s="67"/>
      <c r="E20" s="46"/>
      <c r="F20" s="46"/>
      <c r="G20" s="68">
        <f>G8*5%</f>
        <v>1389.016</v>
      </c>
      <c r="H20" s="68">
        <f>H8*5%</f>
        <v>1382.7600000000002</v>
      </c>
      <c r="I20" s="71">
        <f>I8*5%</f>
        <v>1382.7600000000002</v>
      </c>
      <c r="J20" s="71">
        <f>J8*5%</f>
        <v>1382.7600000000002</v>
      </c>
      <c r="K20" s="69">
        <f>K8*5%</f>
        <v>115.23</v>
      </c>
      <c r="L20" s="68">
        <f aca="true" t="shared" si="4" ref="L20:V20">L8*5%</f>
        <v>115.23</v>
      </c>
      <c r="M20" s="69">
        <f t="shared" si="4"/>
        <v>115.23</v>
      </c>
      <c r="N20" s="68">
        <f t="shared" si="4"/>
        <v>115.23</v>
      </c>
      <c r="O20" s="69">
        <f t="shared" si="4"/>
        <v>115.23</v>
      </c>
      <c r="P20" s="68">
        <f t="shared" si="4"/>
        <v>115.23</v>
      </c>
      <c r="Q20" s="69">
        <f t="shared" si="4"/>
        <v>115.23</v>
      </c>
      <c r="R20" s="68">
        <f t="shared" si="4"/>
        <v>115.23</v>
      </c>
      <c r="S20" s="69">
        <f t="shared" si="4"/>
        <v>115.23</v>
      </c>
      <c r="T20" s="68">
        <f t="shared" si="4"/>
        <v>115.23</v>
      </c>
      <c r="U20" s="69">
        <f t="shared" si="4"/>
        <v>115.23</v>
      </c>
      <c r="V20" s="68">
        <f t="shared" si="4"/>
        <v>115.23</v>
      </c>
      <c r="W20" s="68">
        <f t="shared" si="2"/>
        <v>1382.76</v>
      </c>
      <c r="X20" s="58"/>
    </row>
    <row r="21" spans="1:24" ht="15" customHeight="1" thickBot="1">
      <c r="A21" s="84" t="s">
        <v>37</v>
      </c>
      <c r="B21" s="85" t="s">
        <v>47</v>
      </c>
      <c r="C21" s="86"/>
      <c r="D21" s="87"/>
      <c r="E21" s="86"/>
      <c r="F21" s="86"/>
      <c r="G21" s="86"/>
      <c r="H21" s="86"/>
      <c r="I21" s="86"/>
      <c r="J21" s="88">
        <f aca="true" t="shared" si="5" ref="J21:V21">SUM(J8-J9)-J20</f>
        <v>-523.3500000000004</v>
      </c>
      <c r="K21" s="89">
        <f t="shared" si="5"/>
        <v>-204.2800000000002</v>
      </c>
      <c r="L21" s="88">
        <f t="shared" si="5"/>
        <v>-102.30999999999993</v>
      </c>
      <c r="M21" s="89">
        <f t="shared" si="5"/>
        <v>-67.11000000000011</v>
      </c>
      <c r="N21" s="88">
        <f t="shared" si="5"/>
        <v>-97.32000000000015</v>
      </c>
      <c r="O21" s="89">
        <f t="shared" si="5"/>
        <v>-342.5</v>
      </c>
      <c r="P21" s="88">
        <f t="shared" si="5"/>
        <v>-60.32999999999946</v>
      </c>
      <c r="Q21" s="89">
        <f t="shared" si="5"/>
        <v>-135.74000000000024</v>
      </c>
      <c r="R21" s="88">
        <f t="shared" si="5"/>
        <v>-172.89000000000033</v>
      </c>
      <c r="S21" s="89">
        <f t="shared" si="5"/>
        <v>43.24999999999956</v>
      </c>
      <c r="T21" s="88">
        <f t="shared" si="5"/>
        <v>-53.11999999999988</v>
      </c>
      <c r="U21" s="89">
        <f t="shared" si="5"/>
        <v>-165.76999999999998</v>
      </c>
      <c r="V21" s="88">
        <f t="shared" si="5"/>
        <v>-337.8600000000001</v>
      </c>
      <c r="W21" s="90">
        <f t="shared" si="2"/>
        <v>-1695.980000000001</v>
      </c>
      <c r="X21" s="57"/>
    </row>
    <row r="22" spans="1:24" ht="29.25" customHeight="1" thickBot="1">
      <c r="A22" s="94" t="s">
        <v>38</v>
      </c>
      <c r="B22" s="79" t="s">
        <v>23</v>
      </c>
      <c r="C22" s="79">
        <v>5257.61</v>
      </c>
      <c r="D22" s="75">
        <f>SUM(D8-D9)</f>
        <v>-1584.5200000000004</v>
      </c>
      <c r="E22" s="74">
        <f>SUM(E8-E9)</f>
        <v>1442.8100000000013</v>
      </c>
      <c r="F22" s="74">
        <f>SUM(F8-F9)</f>
        <v>1308.7800000000025</v>
      </c>
      <c r="G22" s="95">
        <f>SUM(G8-G9)-G20</f>
        <v>79.64399999999978</v>
      </c>
      <c r="H22" s="95">
        <f>SUM(H8-H9)-H20</f>
        <v>-1171.1000000000004</v>
      </c>
      <c r="I22" s="95">
        <f>SUM(I8-I9)-I20</f>
        <v>-143.65000000000327</v>
      </c>
      <c r="J22" s="95">
        <f>SUM(J8-J9)-J20</f>
        <v>-523.3500000000004</v>
      </c>
      <c r="K22" s="96">
        <f>SUM(K8-K9)-K20</f>
        <v>-204.2800000000002</v>
      </c>
      <c r="L22" s="95">
        <f>SUM(L21+K22)</f>
        <v>-306.59000000000015</v>
      </c>
      <c r="M22" s="96">
        <f aca="true" t="shared" si="6" ref="M22:V22">SUM(M21+L22)</f>
        <v>-373.7000000000003</v>
      </c>
      <c r="N22" s="95">
        <f t="shared" si="6"/>
        <v>-471.02000000000044</v>
      </c>
      <c r="O22" s="96">
        <f t="shared" si="6"/>
        <v>-813.5200000000004</v>
      </c>
      <c r="P22" s="95">
        <f t="shared" si="6"/>
        <v>-873.8499999999999</v>
      </c>
      <c r="Q22" s="96">
        <f t="shared" si="6"/>
        <v>-1009.5900000000001</v>
      </c>
      <c r="R22" s="95">
        <f t="shared" si="6"/>
        <v>-1182.4800000000005</v>
      </c>
      <c r="S22" s="96">
        <f t="shared" si="6"/>
        <v>-1139.230000000001</v>
      </c>
      <c r="T22" s="95">
        <f t="shared" si="6"/>
        <v>-1192.3500000000008</v>
      </c>
      <c r="U22" s="96">
        <f t="shared" si="6"/>
        <v>-1358.1200000000008</v>
      </c>
      <c r="V22" s="95">
        <f t="shared" si="6"/>
        <v>-1695.980000000001</v>
      </c>
      <c r="W22" s="74"/>
      <c r="X22" s="80"/>
    </row>
    <row r="23" spans="1:24" ht="23.25" customHeight="1" hidden="1" thickBot="1">
      <c r="A23" s="91" t="s">
        <v>39</v>
      </c>
      <c r="B23" s="37" t="s">
        <v>24</v>
      </c>
      <c r="C23" s="46">
        <v>5257.61</v>
      </c>
      <c r="D23" s="92">
        <f>SUM(D8-D9,C23)</f>
        <v>3673.0899999999992</v>
      </c>
      <c r="E23" s="55">
        <f>SUM(E8-E9,D23)</f>
        <v>5115.900000000001</v>
      </c>
      <c r="F23" s="55">
        <f>SUM(F8-F9,E23)</f>
        <v>6424.680000000003</v>
      </c>
      <c r="G23" s="71">
        <f>SUM(G22+F23)</f>
        <v>6504.324000000002</v>
      </c>
      <c r="H23" s="71">
        <f>SUM(H22+G23)</f>
        <v>5333.224000000002</v>
      </c>
      <c r="I23" s="71">
        <f>SUM(I22+H23)</f>
        <v>5189.573999999999</v>
      </c>
      <c r="J23" s="71">
        <f>SUM(J22+I23)</f>
        <v>4666.223999999998</v>
      </c>
      <c r="K23" s="71">
        <f>SUM(K22+J23)</f>
        <v>4461.943999999998</v>
      </c>
      <c r="L23" s="71">
        <f>SUM(L21+K23)</f>
        <v>4359.633999999998</v>
      </c>
      <c r="M23" s="69">
        <f aca="true" t="shared" si="7" ref="M23:V23">SUM(M21+L23)</f>
        <v>4292.5239999999985</v>
      </c>
      <c r="N23" s="71">
        <f t="shared" si="7"/>
        <v>4195.203999999999</v>
      </c>
      <c r="O23" s="69">
        <f t="shared" si="7"/>
        <v>3852.703999999999</v>
      </c>
      <c r="P23" s="71">
        <f t="shared" si="7"/>
        <v>3792.3739999999993</v>
      </c>
      <c r="Q23" s="69">
        <f t="shared" si="7"/>
        <v>3656.633999999999</v>
      </c>
      <c r="R23" s="71">
        <f t="shared" si="7"/>
        <v>3483.743999999999</v>
      </c>
      <c r="S23" s="69">
        <f t="shared" si="7"/>
        <v>3526.9939999999983</v>
      </c>
      <c r="T23" s="71">
        <f t="shared" si="7"/>
        <v>3473.8739999999984</v>
      </c>
      <c r="U23" s="69">
        <f t="shared" si="7"/>
        <v>3308.1039999999985</v>
      </c>
      <c r="V23" s="71">
        <f t="shared" si="7"/>
        <v>2970.2439999999983</v>
      </c>
      <c r="W23" s="55"/>
      <c r="X23" s="93"/>
    </row>
    <row r="24" spans="1:24" ht="23.25" hidden="1" thickBot="1">
      <c r="A24" s="40" t="s">
        <v>39</v>
      </c>
      <c r="B24" s="45" t="s">
        <v>7</v>
      </c>
      <c r="C24" s="45"/>
      <c r="D24" s="45"/>
      <c r="E24" s="61"/>
      <c r="F24" s="61"/>
      <c r="G24" s="61"/>
      <c r="H24" s="61"/>
      <c r="I24" s="61"/>
      <c r="J24" s="61"/>
      <c r="K24" s="13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21"/>
      <c r="W24" s="51"/>
      <c r="X24" s="24"/>
    </row>
    <row r="25" spans="1:24" ht="15" customHeight="1" hidden="1" thickBot="1">
      <c r="A25" s="40" t="s">
        <v>40</v>
      </c>
      <c r="B25" s="37" t="s">
        <v>25</v>
      </c>
      <c r="C25" s="46"/>
      <c r="D25" s="46"/>
      <c r="E25" s="60"/>
      <c r="F25" s="60"/>
      <c r="G25" s="60"/>
      <c r="H25" s="60"/>
      <c r="I25" s="60"/>
      <c r="J25" s="60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2"/>
      <c r="W25" s="55"/>
      <c r="X25" s="24"/>
    </row>
    <row r="26" spans="1:24" ht="0.75" customHeight="1" hidden="1" thickBot="1">
      <c r="A26" s="41" t="s">
        <v>41</v>
      </c>
      <c r="B26" s="38" t="s">
        <v>45</v>
      </c>
      <c r="C26" s="47"/>
      <c r="D26" s="47"/>
      <c r="E26" s="62"/>
      <c r="F26" s="62"/>
      <c r="G26" s="62"/>
      <c r="H26" s="62"/>
      <c r="I26" s="62"/>
      <c r="J26" s="62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9">
        <f>SUM(V22-V24)</f>
        <v>-1695.980000000001</v>
      </c>
      <c r="W26" s="56"/>
      <c r="X26" s="30"/>
    </row>
    <row r="27" spans="1:24" ht="24" customHeight="1" hidden="1" thickBot="1">
      <c r="A27" s="41" t="s">
        <v>44</v>
      </c>
      <c r="B27" s="38" t="s">
        <v>26</v>
      </c>
      <c r="C27" s="47"/>
      <c r="D27" s="47"/>
      <c r="E27" s="62"/>
      <c r="F27" s="62"/>
      <c r="G27" s="62"/>
      <c r="H27" s="62"/>
      <c r="I27" s="62"/>
      <c r="J27" s="62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>
        <f>SUM(V23-V24)</f>
        <v>2970.2439999999983</v>
      </c>
      <c r="W27" s="56"/>
      <c r="X27" s="30"/>
    </row>
    <row r="28" spans="2:24" ht="1.5" customHeight="1" hidden="1"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</row>
    <row r="30" ht="0.75" customHeight="1"/>
    <row r="31" ht="12.75" hidden="1"/>
    <row r="32" ht="12.75" hidden="1"/>
    <row r="33" ht="12.75">
      <c r="B33" t="s">
        <v>48</v>
      </c>
    </row>
    <row r="37" ht="12.75" customHeight="1"/>
    <row r="38" ht="12.75" customHeight="1"/>
  </sheetData>
  <sheetProtection/>
  <mergeCells count="5">
    <mergeCell ref="B4:X4"/>
    <mergeCell ref="B5:X5"/>
    <mergeCell ref="B3:X3"/>
    <mergeCell ref="B1:M1"/>
    <mergeCell ref="B2:V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2018-02-02T08:04:32Z</cp:lastPrinted>
  <dcterms:created xsi:type="dcterms:W3CDTF">2011-06-16T11:06:26Z</dcterms:created>
  <dcterms:modified xsi:type="dcterms:W3CDTF">2019-02-12T11:44:09Z</dcterms:modified>
  <cp:category/>
  <cp:version/>
  <cp:contentType/>
  <cp:contentStatus/>
</cp:coreProperties>
</file>