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<sst xmlns="http://schemas.openxmlformats.org/spreadsheetml/2006/main" count="79" uniqueCount="79">
  <si>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СПРАВКА</t>
  </si>
  <si>
    <t xml:space="preserve">Начислено  </t>
  </si>
  <si>
    <t>Расходы</t>
  </si>
  <si>
    <t>Услуги РИРЦ</t>
  </si>
  <si>
    <t>Вывоз ТБО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</si>
  <si>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</si>
  <si>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</si>
  <si>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</si>
  <si>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</si>
  <si>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</si>
  <si>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</si>
  <si>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</si>
  <si>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</si>
  <si>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</si>
  <si>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</si>
  <si>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</si>
  <si>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</si>
  <si>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</si>
  <si>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</si>
  <si>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</si>
  <si>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</si>
  <si>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</si>
  <si>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</si>
  <si>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</si>
  <si>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</si>
  <si>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</si>
  <si>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</si>
  <si>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</si>
  <si>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</si>
  <si>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</si>
  <si>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</si>
  <si>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</si>
  <si>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</si>
  <si>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</si>
  <si>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4.7</t>
  </si>
  <si>
    <t>4.8</t>
  </si>
  <si>
    <t>4.9</t>
  </si>
  <si>
    <t>4.10</t>
  </si>
  <si>
    <t>4.11</t>
  </si>
  <si>
    <t>6</t>
  </si>
  <si>
    <t>7</t>
  </si>
  <si>
    <t>8</t>
  </si>
  <si>
    <t>9</t>
  </si>
  <si>
    <t>по жилому дому г. Унеча пер.Мира д.10а</t>
  </si>
  <si>
    <t>за 2009 г</t>
  </si>
  <si>
    <t>за 2010 г</t>
  </si>
  <si>
    <t>10</t>
  </si>
  <si>
    <t>Финансовый результат по дому с начала года</t>
  </si>
  <si>
    <t>11</t>
  </si>
  <si>
    <t>Благоустройство  территории</t>
  </si>
  <si>
    <t>Итого за 2011 г</t>
  </si>
  <si>
    <t>Результат за месяц</t>
  </si>
  <si>
    <t>Итого за 2012 г</t>
  </si>
  <si>
    <t xml:space="preserve">Материалы </t>
  </si>
  <si>
    <t>4.12</t>
  </si>
  <si>
    <t>4.14</t>
  </si>
  <si>
    <t>4.15</t>
  </si>
  <si>
    <t>Итого за 2013 г</t>
  </si>
  <si>
    <t>Итого за 2014 г</t>
  </si>
  <si>
    <t>рентабельность 5%</t>
  </si>
  <si>
    <t>Итого за 2015</t>
  </si>
  <si>
    <t>Услуги сторонних организаций</t>
  </si>
  <si>
    <t>Тех. обслуживание газопроводов</t>
  </si>
  <si>
    <t>Транспортные(ГСМ,зап.части,амортизация,страхование ит.д.)</t>
  </si>
  <si>
    <t xml:space="preserve">Расходы на управление,аренда, связь </t>
  </si>
  <si>
    <t>4.6</t>
  </si>
  <si>
    <t>Проверка вент.каналов</t>
  </si>
  <si>
    <t>Исполнитель вед. экономист  /Викторова Л.С./</t>
  </si>
  <si>
    <t xml:space="preserve">Услуги агентские,охрана труда,отопление, хол.вода, эл.энегрия   </t>
  </si>
  <si>
    <t>Итого за 2016</t>
  </si>
  <si>
    <t>Дом по  пер.Мира д.10а вступил в ООО "Наш дом" с октября 2009 года                             тариф 10,35  руб</t>
  </si>
  <si>
    <t>Итого за 2017</t>
  </si>
  <si>
    <t>Начислено СОИД</t>
  </si>
  <si>
    <t>Электроэнергия СОИД</t>
  </si>
  <si>
    <t>Начислено  нежилые</t>
  </si>
  <si>
    <t>Горячая вода СОИД</t>
  </si>
  <si>
    <t xml:space="preserve">Электроэнергия </t>
  </si>
  <si>
    <t>Итого за 2018</t>
  </si>
  <si>
    <t>Всего за 2009-2018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</si>
</sst>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2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7" xfId="0" applyFont="1" applyBorder="1" applyAlignment="1">
      <alignment horizontal="left" vertical="center" wrapText="1"/>
    </xf>
    <xf numFmtId="0" fontId="21" fillId="0" borderId="33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21" fillId="2" borderId="38" xfId="0" applyFont="1" applyFill="1" applyBorder="1" applyAlignment="1">
      <alignment wrapText="1"/>
    </xf>
    <xf numFmtId="0" fontId="21" fillId="0" borderId="39" xfId="0" applyFont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49" fontId="0" fillId="0" borderId="38" xfId="0" applyNumberFormat="1" applyBorder="1" applyAlignment="1">
      <alignment horizontal="center"/>
    </xf>
    <xf numFmtId="0" fontId="21" fillId="0" borderId="37" xfId="0" applyFont="1" applyBorder="1" applyAlignment="1">
      <alignment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0" fillId="2" borderId="27" xfId="0" applyFill="1" applyBorder="1" applyAlignment="1">
      <alignment/>
    </xf>
    <xf numFmtId="0" fontId="19" fillId="0" borderId="37" xfId="0" applyFont="1" applyBorder="1" applyAlignment="1">
      <alignment horizontal="center" vertical="center" wrapText="1"/>
    </xf>
    <xf numFmtId="0" fontId="21" fillId="0" borderId="41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38" xfId="0" applyFont="1" applyBorder="1" applyAlignment="1">
      <alignment/>
    </xf>
    <xf numFmtId="0" fontId="20" fillId="2" borderId="38" xfId="0" applyFont="1" applyFill="1" applyBorder="1" applyAlignment="1">
      <alignment/>
    </xf>
    <xf numFmtId="0" fontId="21" fillId="0" borderId="42" xfId="0" applyFont="1" applyBorder="1" applyAlignment="1">
      <alignment wrapText="1"/>
    </xf>
    <xf numFmtId="2" fontId="26" fillId="0" borderId="27" xfId="0" applyNumberFormat="1" applyFont="1" applyBorder="1" applyAlignment="1">
      <alignment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0" fontId="21" fillId="0" borderId="45" xfId="0" applyFont="1" applyBorder="1" applyAlignment="1">
      <alignment wrapText="1"/>
    </xf>
    <xf numFmtId="0" fontId="21" fillId="0" borderId="46" xfId="0" applyFont="1" applyBorder="1" applyAlignment="1">
      <alignment wrapText="1"/>
    </xf>
    <xf numFmtId="0" fontId="21" fillId="0" borderId="47" xfId="0" applyFont="1" applyBorder="1" applyAlignment="1">
      <alignment wrapText="1"/>
    </xf>
    <xf numFmtId="0" fontId="27" fillId="0" borderId="40" xfId="0" applyFont="1" applyBorder="1" applyAlignment="1">
      <alignment wrapText="1"/>
    </xf>
    <xf numFmtId="0" fontId="27" fillId="0" borderId="41" xfId="0" applyFont="1" applyBorder="1" applyAlignment="1">
      <alignment wrapText="1"/>
    </xf>
    <xf numFmtId="0" fontId="27" fillId="0" borderId="48" xfId="0" applyFont="1" applyBorder="1" applyAlignment="1">
      <alignment wrapText="1"/>
    </xf>
    <xf numFmtId="0" fontId="27" fillId="0" borderId="32" xfId="0" applyFont="1" applyBorder="1" applyAlignment="1">
      <alignment wrapText="1"/>
    </xf>
    <xf numFmtId="2" fontId="21" fillId="0" borderId="41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1" fillId="0" borderId="22" xfId="0" applyNumberFormat="1" applyFont="1" applyBorder="1" applyAlignment="1">
      <alignment/>
    </xf>
    <xf numFmtId="2" fontId="21" fillId="0" borderId="37" xfId="0" applyNumberFormat="1" applyFont="1" applyBorder="1" applyAlignment="1">
      <alignment wrapText="1"/>
    </xf>
    <xf numFmtId="0" fontId="26" fillId="0" borderId="32" xfId="0" applyFont="1" applyBorder="1" applyAlignment="1">
      <alignment/>
    </xf>
    <xf numFmtId="2" fontId="26" fillId="0" borderId="42" xfId="0" applyNumberFormat="1" applyFont="1" applyBorder="1" applyAlignment="1">
      <alignment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7" fillId="0" borderId="44" xfId="0" applyFont="1" applyBorder="1" applyAlignment="1">
      <alignment wrapText="1"/>
    </xf>
    <xf numFmtId="2" fontId="21" fillId="0" borderId="39" xfId="0" applyNumberFormat="1" applyFont="1" applyBorder="1" applyAlignment="1">
      <alignment wrapText="1"/>
    </xf>
    <xf numFmtId="2" fontId="21" fillId="0" borderId="39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9" fillId="0" borderId="22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43" xfId="0" applyFont="1" applyBorder="1" applyAlignment="1">
      <alignment/>
    </xf>
    <xf numFmtId="0" fontId="30" fillId="0" borderId="27" xfId="0" applyFont="1" applyBorder="1" applyAlignment="1">
      <alignment/>
    </xf>
    <xf numFmtId="0" fontId="22" fillId="0" borderId="0" xfId="0" applyFont="1" applyAlignment="1">
      <alignment/>
    </xf>
    <xf numFmtId="0" fontId="29" fillId="0" borderId="49" xfId="0" applyFont="1" applyBorder="1" applyAlignment="1">
      <alignment wrapText="1"/>
    </xf>
    <xf numFmtId="0" fontId="29" fillId="0" borderId="39" xfId="0" applyFont="1" applyBorder="1" applyAlignment="1">
      <alignment wrapText="1"/>
    </xf>
    <xf numFmtId="0" fontId="29" fillId="0" borderId="37" xfId="0" applyFont="1" applyBorder="1" applyAlignment="1">
      <alignment wrapText="1"/>
    </xf>
    <xf numFmtId="2" fontId="29" fillId="0" borderId="37" xfId="0" applyNumberFormat="1" applyFont="1" applyBorder="1" applyAlignment="1">
      <alignment/>
    </xf>
    <xf numFmtId="2" fontId="29" fillId="0" borderId="39" xfId="0" applyNumberFormat="1" applyFont="1" applyBorder="1" applyAlignment="1">
      <alignment/>
    </xf>
    <xf numFmtId="2" fontId="29" fillId="0" borderId="22" xfId="0" applyNumberFormat="1" applyFont="1" applyBorder="1" applyAlignment="1">
      <alignment/>
    </xf>
    <xf numFmtId="0" fontId="22" fillId="0" borderId="27" xfId="0" applyFont="1" applyBorder="1" applyAlignment="1">
      <alignment/>
    </xf>
    <xf numFmtId="0" fontId="21" fillId="0" borderId="32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A7">
      <selection activeCell="T15" sqref="T15"/>
    </sheetView>
  </sheetViews>
  <sheetFormatPr defaultColWidth="9.00390625" defaultRowHeight="12.75"/>
  <cols>
    <col min="1" max="1" width="3.25390625" style="26" customWidth="1"/>
    <col min="2" max="2" width="20.75390625" style="0" customWidth="1"/>
    <col min="3" max="3" width="7.375" style="0" hidden="1" customWidth="1"/>
    <col min="4" max="4" width="8.125" style="0" hidden="1" customWidth="1"/>
    <col min="5" max="5" width="12.875" style="0" hidden="1" customWidth="1"/>
    <col min="6" max="6" width="10.75390625" style="0" hidden="1" customWidth="1"/>
    <col min="7" max="7" width="10.875" style="0" hidden="1" customWidth="1"/>
    <col min="8" max="8" width="9.125" style="0" hidden="1" customWidth="1"/>
    <col min="9" max="9" width="10.00390625" style="0" hidden="1" customWidth="1"/>
    <col min="10" max="10" width="9.00390625" style="0" hidden="1" customWidth="1"/>
    <col min="11" max="11" width="9.125" style="0" hidden="1" customWidth="1"/>
    <col min="12" max="12" width="9.25390625" style="0" customWidth="1"/>
    <col min="13" max="14" width="9.00390625" style="0" customWidth="1"/>
    <col min="15" max="15" width="7.875" style="0" customWidth="1"/>
    <col min="16" max="16" width="8.125" style="0" customWidth="1"/>
    <col min="17" max="17" width="7.75390625" style="0" customWidth="1"/>
    <col min="18" max="18" width="8.75390625" style="0" customWidth="1"/>
    <col min="19" max="19" width="8.625" style="0" customWidth="1"/>
    <col min="20" max="20" width="7.875" style="0" customWidth="1"/>
    <col min="21" max="21" width="8.75390625" style="0" customWidth="1"/>
    <col min="22" max="22" width="8.25390625" style="0" customWidth="1"/>
    <col min="23" max="23" width="8.375" style="0" customWidth="1"/>
    <col min="24" max="24" width="8.75390625" style="0" customWidth="1"/>
    <col min="25" max="25" width="10.875" style="0" customWidth="1"/>
  </cols>
  <sheetData>
    <row r="1" spans="2:30" ht="12.75" customHeight="1">
      <c r="B1" s="112" t="s">
        <v>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12" t="s">
        <v>70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55"/>
      <c r="Y2" s="4"/>
      <c r="Z2" s="4"/>
      <c r="AA2" s="4"/>
      <c r="AB2" s="4"/>
      <c r="AC2" s="4"/>
      <c r="AD2" s="4"/>
    </row>
    <row r="3" spans="2:30" ht="12.75" customHeight="1">
      <c r="B3" s="111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3"/>
      <c r="AA3" s="3"/>
      <c r="AB3" s="3"/>
      <c r="AC3" s="3"/>
      <c r="AD3" s="3"/>
    </row>
    <row r="4" spans="2:30" ht="11.25" customHeight="1">
      <c r="B4" s="110" t="s">
        <v>10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2"/>
      <c r="AA4" s="2"/>
      <c r="AB4" s="2"/>
      <c r="AC4" s="2"/>
      <c r="AD4" s="2"/>
    </row>
    <row r="5" spans="2:30" ht="15.75" customHeight="1" thickBot="1">
      <c r="B5" s="110" t="s">
        <v>43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2"/>
      <c r="AA5" s="2"/>
      <c r="AB5" s="2"/>
      <c r="AC5" s="2"/>
      <c r="AD5" s="2"/>
    </row>
    <row r="6" spans="2:30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33" customHeight="1" thickBot="1">
      <c r="A7" s="35" t="s">
        <v>27</v>
      </c>
      <c r="B7" s="27" t="s">
        <v>6</v>
      </c>
      <c r="C7" s="38" t="s">
        <v>44</v>
      </c>
      <c r="D7" s="44" t="s">
        <v>45</v>
      </c>
      <c r="E7" s="63" t="s">
        <v>50</v>
      </c>
      <c r="F7" s="63" t="s">
        <v>52</v>
      </c>
      <c r="G7" s="63" t="s">
        <v>57</v>
      </c>
      <c r="H7" s="63" t="s">
        <v>58</v>
      </c>
      <c r="I7" s="89" t="s">
        <v>60</v>
      </c>
      <c r="J7" s="88" t="s">
        <v>69</v>
      </c>
      <c r="K7" s="63" t="s">
        <v>71</v>
      </c>
      <c r="L7" s="85" t="s">
        <v>11</v>
      </c>
      <c r="M7" s="86" t="s">
        <v>12</v>
      </c>
      <c r="N7" s="86" t="s">
        <v>13</v>
      </c>
      <c r="O7" s="86" t="s">
        <v>14</v>
      </c>
      <c r="P7" s="86" t="s">
        <v>15</v>
      </c>
      <c r="Q7" s="86" t="s">
        <v>16</v>
      </c>
      <c r="R7" s="86" t="s">
        <v>17</v>
      </c>
      <c r="S7" s="86" t="s">
        <v>18</v>
      </c>
      <c r="T7" s="86" t="s">
        <v>19</v>
      </c>
      <c r="U7" s="86" t="s">
        <v>20</v>
      </c>
      <c r="V7" s="86" t="s">
        <v>22</v>
      </c>
      <c r="W7" s="87" t="s">
        <v>21</v>
      </c>
      <c r="X7" s="63" t="s">
        <v>77</v>
      </c>
      <c r="Y7" s="58" t="s">
        <v>78</v>
      </c>
      <c r="Z7" s="1"/>
      <c r="AA7" s="1"/>
      <c r="AB7" s="1"/>
      <c r="AC7" s="1"/>
      <c r="AD7" s="1"/>
    </row>
    <row r="8" spans="1:25" ht="13.5" thickBot="1">
      <c r="A8" s="36" t="s">
        <v>28</v>
      </c>
      <c r="B8" s="28" t="s">
        <v>1</v>
      </c>
      <c r="C8" s="75">
        <v>112483.8</v>
      </c>
      <c r="D8" s="76">
        <v>446231.28</v>
      </c>
      <c r="E8" s="77">
        <v>450302.28</v>
      </c>
      <c r="F8" s="78">
        <v>451036.44</v>
      </c>
      <c r="G8" s="78">
        <v>451524.96</v>
      </c>
      <c r="H8" s="76">
        <v>451745.76</v>
      </c>
      <c r="I8" s="90">
        <v>451831.32</v>
      </c>
      <c r="J8" s="78">
        <v>493825.53</v>
      </c>
      <c r="K8" s="76">
        <v>504471.81</v>
      </c>
      <c r="L8" s="5">
        <v>42047.08</v>
      </c>
      <c r="M8" s="6">
        <v>42047.08</v>
      </c>
      <c r="N8" s="6">
        <v>42047.08</v>
      </c>
      <c r="O8" s="6">
        <v>42047.08</v>
      </c>
      <c r="P8" s="6">
        <v>42047.08</v>
      </c>
      <c r="Q8" s="6">
        <v>42047.08</v>
      </c>
      <c r="R8" s="6">
        <v>42047.08</v>
      </c>
      <c r="S8" s="6">
        <v>42047.08</v>
      </c>
      <c r="T8" s="6">
        <v>42047.08</v>
      </c>
      <c r="U8" s="6">
        <v>42047.08</v>
      </c>
      <c r="V8" s="6">
        <v>42041.91</v>
      </c>
      <c r="W8" s="6">
        <v>42041.91</v>
      </c>
      <c r="X8" s="109">
        <f>SUM(L8:W8)</f>
        <v>504554.6200000001</v>
      </c>
      <c r="Y8" s="83">
        <f>SUM(C8:W8)</f>
        <v>4318007.800000001</v>
      </c>
    </row>
    <row r="9" spans="1:25" ht="13.5" thickBot="1">
      <c r="A9" s="36"/>
      <c r="B9" s="28" t="s">
        <v>72</v>
      </c>
      <c r="C9" s="75"/>
      <c r="D9" s="76"/>
      <c r="E9" s="90"/>
      <c r="F9" s="76"/>
      <c r="G9" s="76"/>
      <c r="H9" s="76"/>
      <c r="I9" s="90"/>
      <c r="J9" s="76"/>
      <c r="K9" s="76">
        <v>40265.7</v>
      </c>
      <c r="L9" s="5">
        <f>107.71+119.93+479.79+2240.77</f>
        <v>2948.2</v>
      </c>
      <c r="M9" s="6">
        <f>2240.77+107.71+119.93+479.79</f>
        <v>2948.2</v>
      </c>
      <c r="N9" s="6">
        <f>2240.77+107.71+119.93+479.79</f>
        <v>2948.2</v>
      </c>
      <c r="O9" s="6">
        <f>2240.77+107.71+119.93+479.79</f>
        <v>2948.2</v>
      </c>
      <c r="P9" s="6">
        <f>2240.77+107.71+119.93+479.79</f>
        <v>2948.2</v>
      </c>
      <c r="Q9" s="6">
        <f>2240.77+107.71+119.93+479.79</f>
        <v>2948.2</v>
      </c>
      <c r="R9" s="6">
        <f>2351.79+108.4+123.15+495.51</f>
        <v>3078.8500000000004</v>
      </c>
      <c r="S9" s="6">
        <f>108.4+123.15+495.51</f>
        <v>727.06</v>
      </c>
      <c r="T9" s="6">
        <f>108.4+123.15+495.51</f>
        <v>727.06</v>
      </c>
      <c r="U9" s="6">
        <f>108.4+123.15+495.51</f>
        <v>727.06</v>
      </c>
      <c r="V9" s="6">
        <f>108.38+123.13+495.49</f>
        <v>727</v>
      </c>
      <c r="W9" s="6">
        <f>108.38+123.13+495.49</f>
        <v>727</v>
      </c>
      <c r="X9" s="64">
        <f>SUM(L9:W9)</f>
        <v>24403.230000000007</v>
      </c>
      <c r="Y9" s="83">
        <f>SUM(C9:W9)</f>
        <v>64668.92999999997</v>
      </c>
    </row>
    <row r="10" spans="1:25" ht="13.5" thickBot="1">
      <c r="A10" s="36"/>
      <c r="B10" s="28" t="s">
        <v>74</v>
      </c>
      <c r="C10" s="75"/>
      <c r="D10" s="76"/>
      <c r="E10" s="90"/>
      <c r="F10" s="76"/>
      <c r="G10" s="76"/>
      <c r="H10" s="76"/>
      <c r="I10" s="90"/>
      <c r="J10" s="76"/>
      <c r="K10" s="76">
        <v>3390.41</v>
      </c>
      <c r="L10" s="5">
        <v>306.51</v>
      </c>
      <c r="M10" s="6">
        <v>306.51</v>
      </c>
      <c r="N10" s="6">
        <v>306.51</v>
      </c>
      <c r="O10" s="6">
        <v>306.51</v>
      </c>
      <c r="P10" s="6">
        <v>306.51</v>
      </c>
      <c r="Q10" s="6">
        <v>306.51</v>
      </c>
      <c r="R10" s="6">
        <v>307.68</v>
      </c>
      <c r="S10" s="6">
        <v>307.68</v>
      </c>
      <c r="T10" s="6">
        <v>307.68</v>
      </c>
      <c r="U10" s="6">
        <v>307.68</v>
      </c>
      <c r="V10" s="6">
        <v>307.68</v>
      </c>
      <c r="W10" s="6">
        <v>307.68</v>
      </c>
      <c r="X10" s="66">
        <f>SUM(L10:W10)</f>
        <v>3685.139999999999</v>
      </c>
      <c r="Y10" s="83">
        <f>SUM(C10:W10)</f>
        <v>7075.550000000003</v>
      </c>
    </row>
    <row r="11" spans="1:25" s="101" customFormat="1" ht="13.5" thickBot="1">
      <c r="A11" s="94" t="s">
        <v>29</v>
      </c>
      <c r="B11" s="95" t="s">
        <v>2</v>
      </c>
      <c r="C11" s="96">
        <v>67863.14</v>
      </c>
      <c r="D11" s="97">
        <f aca="true" t="shared" si="0" ref="D11:L11">SUM(D12:D26)</f>
        <v>339945.61</v>
      </c>
      <c r="E11" s="96">
        <f t="shared" si="0"/>
        <v>414078.07</v>
      </c>
      <c r="F11" s="97">
        <f t="shared" si="0"/>
        <v>450443.37</v>
      </c>
      <c r="G11" s="97">
        <f t="shared" si="0"/>
        <v>492572.19999999995</v>
      </c>
      <c r="H11" s="97">
        <f t="shared" si="0"/>
        <v>418204.50999999995</v>
      </c>
      <c r="I11" s="96">
        <f>SUM(I12:I26)</f>
        <v>562775.7800000001</v>
      </c>
      <c r="J11" s="97">
        <f>SUM(J12:J26)</f>
        <v>449145.76999999996</v>
      </c>
      <c r="K11" s="97">
        <f>SUM(K12:K26)</f>
        <v>474870.75</v>
      </c>
      <c r="L11" s="98">
        <f t="shared" si="0"/>
        <v>38438.86</v>
      </c>
      <c r="M11" s="98">
        <f aca="true" t="shared" si="1" ref="M11:W11">SUM(M12:M26)</f>
        <v>37637.79</v>
      </c>
      <c r="N11" s="98">
        <f t="shared" si="1"/>
        <v>59304.98</v>
      </c>
      <c r="O11" s="98">
        <f t="shared" si="1"/>
        <v>43591.16000000001</v>
      </c>
      <c r="P11" s="98">
        <f t="shared" si="1"/>
        <v>38565.97</v>
      </c>
      <c r="Q11" s="98">
        <f t="shared" si="1"/>
        <v>57063.18000000001</v>
      </c>
      <c r="R11" s="98">
        <f t="shared" si="1"/>
        <v>50691.030000000006</v>
      </c>
      <c r="S11" s="98">
        <f t="shared" si="1"/>
        <v>56401.11</v>
      </c>
      <c r="T11" s="98">
        <f t="shared" si="1"/>
        <v>33390.02</v>
      </c>
      <c r="U11" s="98">
        <f t="shared" si="1"/>
        <v>45416.28</v>
      </c>
      <c r="V11" s="98">
        <f t="shared" si="1"/>
        <v>36942.84</v>
      </c>
      <c r="W11" s="96">
        <f t="shared" si="1"/>
        <v>42003.29</v>
      </c>
      <c r="X11" s="99">
        <f>SUM(L11:W11)</f>
        <v>539446.51</v>
      </c>
      <c r="Y11" s="100">
        <f>SUM(C11:W11)</f>
        <v>4209345.71</v>
      </c>
    </row>
    <row r="12" spans="1:25" ht="13.5" thickBot="1">
      <c r="A12" s="36" t="s">
        <v>30</v>
      </c>
      <c r="B12" s="29" t="s">
        <v>4</v>
      </c>
      <c r="C12" s="51"/>
      <c r="D12" s="52">
        <v>66194.37</v>
      </c>
      <c r="E12" s="70">
        <v>81214.51</v>
      </c>
      <c r="F12" s="52">
        <v>82975.44</v>
      </c>
      <c r="G12" s="52">
        <v>92247.52</v>
      </c>
      <c r="H12" s="52">
        <v>100430.49</v>
      </c>
      <c r="I12" s="70">
        <v>92364.08</v>
      </c>
      <c r="J12" s="52">
        <v>92219.59</v>
      </c>
      <c r="K12" s="52">
        <v>89754.25</v>
      </c>
      <c r="L12" s="5">
        <f>6890+270.35</f>
        <v>7160.35</v>
      </c>
      <c r="M12" s="6">
        <f>6837+294.48</f>
        <v>7131.48</v>
      </c>
      <c r="N12" s="6">
        <f>6837+209.12</f>
        <v>7046.12</v>
      </c>
      <c r="O12" s="6">
        <f>6837+589.1</f>
        <v>7426.1</v>
      </c>
      <c r="P12" s="6">
        <f>6837+550.43</f>
        <v>7387.43</v>
      </c>
      <c r="Q12" s="6">
        <f>6837+565.34</f>
        <v>7402.34</v>
      </c>
      <c r="R12" s="6">
        <f>6837+482.41</f>
        <v>7319.41</v>
      </c>
      <c r="S12" s="6">
        <f>6837+609.91</f>
        <v>7446.91</v>
      </c>
      <c r="T12" s="6">
        <f>6784+45.14</f>
        <v>6829.14</v>
      </c>
      <c r="U12" s="6">
        <f>6943+373.07</f>
        <v>7316.07</v>
      </c>
      <c r="V12" s="6">
        <f>6731+420.98</f>
        <v>7151.98</v>
      </c>
      <c r="W12" s="15">
        <f>6731+386.94</f>
        <v>7117.94</v>
      </c>
      <c r="X12" s="57">
        <f aca="true" t="shared" si="2" ref="X12:X28">SUM(L12:W12)</f>
        <v>86735.27</v>
      </c>
      <c r="Y12" s="84">
        <f>SUM(C12:W12)</f>
        <v>784135.5199999999</v>
      </c>
    </row>
    <row r="13" spans="1:25" ht="15" customHeight="1" thickBot="1">
      <c r="A13" s="36" t="s">
        <v>31</v>
      </c>
      <c r="B13" s="30" t="s">
        <v>61</v>
      </c>
      <c r="C13" s="53"/>
      <c r="D13" s="54">
        <v>111862.94</v>
      </c>
      <c r="E13" s="71">
        <v>40725.94</v>
      </c>
      <c r="F13" s="54">
        <v>27786.64</v>
      </c>
      <c r="G13" s="54">
        <v>19319.61</v>
      </c>
      <c r="H13" s="54">
        <v>6262.57</v>
      </c>
      <c r="I13" s="71">
        <v>80175.06</v>
      </c>
      <c r="J13" s="54">
        <v>4492.93</v>
      </c>
      <c r="K13" s="54">
        <v>3168</v>
      </c>
      <c r="L13" s="7"/>
      <c r="M13" s="8"/>
      <c r="N13" s="8">
        <v>770.24</v>
      </c>
      <c r="O13" s="8"/>
      <c r="P13" s="8">
        <v>1000</v>
      </c>
      <c r="Q13" s="8">
        <v>5000</v>
      </c>
      <c r="R13" s="8"/>
      <c r="S13" s="8">
        <v>11359.22</v>
      </c>
      <c r="T13" s="8"/>
      <c r="U13" s="8"/>
      <c r="V13" s="8"/>
      <c r="W13" s="16"/>
      <c r="X13" s="57">
        <f t="shared" si="2"/>
        <v>18129.46</v>
      </c>
      <c r="Y13" s="69">
        <f aca="true" t="shared" si="3" ref="Y13:Y26">SUM(C13:W13)</f>
        <v>311923.14999999997</v>
      </c>
    </row>
    <row r="14" spans="1:25" ht="12.75" customHeight="1" thickBot="1">
      <c r="A14" s="36" t="s">
        <v>32</v>
      </c>
      <c r="B14" s="30" t="s">
        <v>53</v>
      </c>
      <c r="C14" s="53"/>
      <c r="D14" s="54">
        <v>19779.27</v>
      </c>
      <c r="E14" s="71">
        <v>27940.98</v>
      </c>
      <c r="F14" s="54">
        <v>58065.81</v>
      </c>
      <c r="G14" s="54">
        <v>93165.24</v>
      </c>
      <c r="H14" s="54">
        <v>25337.49</v>
      </c>
      <c r="I14" s="71">
        <v>33450.89</v>
      </c>
      <c r="J14" s="54">
        <v>34204.92</v>
      </c>
      <c r="K14" s="54">
        <f>24365.61+1539.52</f>
        <v>25905.13</v>
      </c>
      <c r="L14" s="7">
        <v>185</v>
      </c>
      <c r="M14" s="8">
        <v>201.81</v>
      </c>
      <c r="N14" s="8">
        <v>90</v>
      </c>
      <c r="O14" s="8">
        <f>4538.33+760</f>
        <v>5298.33</v>
      </c>
      <c r="P14" s="8">
        <f>888.8+300</f>
        <v>1188.8</v>
      </c>
      <c r="Q14" s="8">
        <f>11412.9+1116.01</f>
        <v>12528.91</v>
      </c>
      <c r="R14" s="8">
        <f>7877.5+320</f>
        <v>8197.5</v>
      </c>
      <c r="S14" s="8">
        <v>8354</v>
      </c>
      <c r="T14" s="8">
        <v>352</v>
      </c>
      <c r="U14" s="8">
        <f>7965.78+1028</f>
        <v>8993.779999999999</v>
      </c>
      <c r="V14" s="8">
        <v>926.8</v>
      </c>
      <c r="W14" s="16">
        <v>3459.01</v>
      </c>
      <c r="X14" s="65">
        <f t="shared" si="2"/>
        <v>49775.94</v>
      </c>
      <c r="Y14" s="69">
        <f t="shared" si="3"/>
        <v>367625.67</v>
      </c>
    </row>
    <row r="15" spans="1:25" ht="12" customHeight="1" thickBot="1">
      <c r="A15" s="36" t="s">
        <v>33</v>
      </c>
      <c r="B15" s="30" t="s">
        <v>66</v>
      </c>
      <c r="C15" s="53"/>
      <c r="D15" s="54"/>
      <c r="E15" s="71"/>
      <c r="F15" s="54"/>
      <c r="G15" s="54"/>
      <c r="H15" s="54"/>
      <c r="I15" s="71">
        <v>1400</v>
      </c>
      <c r="J15" s="54">
        <v>4600</v>
      </c>
      <c r="K15" s="54">
        <v>3700</v>
      </c>
      <c r="L15" s="7"/>
      <c r="M15" s="8"/>
      <c r="N15" s="8"/>
      <c r="O15" s="8"/>
      <c r="P15" s="8"/>
      <c r="Q15" s="8"/>
      <c r="R15" s="8">
        <v>2900</v>
      </c>
      <c r="S15" s="8"/>
      <c r="T15" s="8"/>
      <c r="U15" s="8"/>
      <c r="V15" s="8"/>
      <c r="W15" s="16"/>
      <c r="X15" s="57">
        <f t="shared" si="2"/>
        <v>2900</v>
      </c>
      <c r="Y15" s="69">
        <f t="shared" si="3"/>
        <v>12600</v>
      </c>
    </row>
    <row r="16" spans="1:25" ht="21" customHeight="1" thickBot="1">
      <c r="A16" s="36" t="s">
        <v>65</v>
      </c>
      <c r="B16" s="30" t="s">
        <v>62</v>
      </c>
      <c r="C16" s="53"/>
      <c r="D16" s="54"/>
      <c r="E16" s="71">
        <v>4840.24</v>
      </c>
      <c r="F16" s="54"/>
      <c r="G16" s="54"/>
      <c r="H16" s="54"/>
      <c r="I16" s="71">
        <v>15804.3</v>
      </c>
      <c r="J16" s="54">
        <v>0</v>
      </c>
      <c r="K16" s="54">
        <v>0</v>
      </c>
      <c r="L16" s="7"/>
      <c r="M16" s="8"/>
      <c r="N16" s="8">
        <v>21231.71</v>
      </c>
      <c r="O16" s="8"/>
      <c r="P16" s="8"/>
      <c r="Q16" s="8"/>
      <c r="R16" s="8"/>
      <c r="S16" s="8"/>
      <c r="T16" s="8"/>
      <c r="U16" s="8"/>
      <c r="V16" s="8"/>
      <c r="W16" s="16"/>
      <c r="X16" s="57">
        <f>SUM(L16:W16)</f>
        <v>21231.71</v>
      </c>
      <c r="Y16" s="69">
        <f>SUM(C16:W16)</f>
        <v>41876.25</v>
      </c>
    </row>
    <row r="17" spans="1:25" ht="22.5" customHeight="1" thickBot="1">
      <c r="A17" s="36" t="s">
        <v>34</v>
      </c>
      <c r="B17" s="30" t="s">
        <v>49</v>
      </c>
      <c r="C17" s="53"/>
      <c r="D17" s="54">
        <v>0</v>
      </c>
      <c r="E17" s="71">
        <v>5150.22</v>
      </c>
      <c r="F17" s="54">
        <v>256</v>
      </c>
      <c r="G17" s="54">
        <v>0</v>
      </c>
      <c r="H17" s="54">
        <v>722.62</v>
      </c>
      <c r="I17" s="71">
        <v>11250</v>
      </c>
      <c r="J17" s="54">
        <v>51</v>
      </c>
      <c r="K17" s="54">
        <v>598.31</v>
      </c>
      <c r="L17" s="7"/>
      <c r="M17" s="8">
        <v>78</v>
      </c>
      <c r="N17" s="8"/>
      <c r="O17" s="8"/>
      <c r="P17" s="8"/>
      <c r="Q17" s="8"/>
      <c r="R17" s="8"/>
      <c r="S17" s="8"/>
      <c r="T17" s="8"/>
      <c r="U17" s="8"/>
      <c r="V17" s="8"/>
      <c r="W17" s="16"/>
      <c r="X17" s="57">
        <f t="shared" si="2"/>
        <v>78</v>
      </c>
      <c r="Y17" s="84">
        <f t="shared" si="3"/>
        <v>18106.15</v>
      </c>
    </row>
    <row r="18" spans="1:25" ht="10.5" customHeight="1" thickBot="1">
      <c r="A18" s="36" t="s">
        <v>35</v>
      </c>
      <c r="B18" s="30" t="s">
        <v>76</v>
      </c>
      <c r="C18" s="53"/>
      <c r="D18" s="54">
        <v>8923.6</v>
      </c>
      <c r="E18" s="71">
        <v>10720.09</v>
      </c>
      <c r="F18" s="54">
        <v>6040.74</v>
      </c>
      <c r="G18" s="54">
        <v>0</v>
      </c>
      <c r="H18" s="54"/>
      <c r="I18" s="71">
        <v>0</v>
      </c>
      <c r="J18" s="54">
        <v>0</v>
      </c>
      <c r="K18" s="54">
        <v>0</v>
      </c>
      <c r="L18" s="7"/>
      <c r="M18" s="8"/>
      <c r="N18" s="8"/>
      <c r="O18" s="8"/>
      <c r="P18" s="8"/>
      <c r="Q18" s="8"/>
      <c r="R18" s="8"/>
      <c r="S18" s="8"/>
      <c r="T18" s="8"/>
      <c r="U18" s="8"/>
      <c r="V18" s="8"/>
      <c r="W18" s="16"/>
      <c r="X18" s="57">
        <f t="shared" si="2"/>
        <v>0</v>
      </c>
      <c r="Y18" s="69">
        <f t="shared" si="3"/>
        <v>25684.43</v>
      </c>
    </row>
    <row r="19" spans="1:25" ht="11.25" customHeight="1" thickBot="1">
      <c r="A19" s="36"/>
      <c r="B19" s="30" t="s">
        <v>73</v>
      </c>
      <c r="C19" s="53"/>
      <c r="D19" s="54"/>
      <c r="E19" s="71"/>
      <c r="F19" s="54"/>
      <c r="G19" s="54"/>
      <c r="H19" s="54"/>
      <c r="I19" s="71"/>
      <c r="J19" s="54"/>
      <c r="K19" s="54">
        <v>31165.35</v>
      </c>
      <c r="L19" s="7">
        <v>2240.77</v>
      </c>
      <c r="M19" s="8">
        <v>2240.77</v>
      </c>
      <c r="N19" s="8">
        <v>2240.77</v>
      </c>
      <c r="O19" s="8">
        <v>2240.77</v>
      </c>
      <c r="P19" s="8">
        <v>2240.77</v>
      </c>
      <c r="Q19" s="8">
        <v>2240.77</v>
      </c>
      <c r="R19" s="8">
        <v>2351.79</v>
      </c>
      <c r="S19" s="8"/>
      <c r="T19" s="8"/>
      <c r="U19" s="8"/>
      <c r="V19" s="8"/>
      <c r="W19" s="16"/>
      <c r="X19" s="57">
        <f>SUM(L19:W19)</f>
        <v>15796.41</v>
      </c>
      <c r="Y19" s="69">
        <f>SUM(C19:W19)</f>
        <v>46961.75999999998</v>
      </c>
    </row>
    <row r="20" spans="1:25" ht="15" customHeight="1" thickBot="1">
      <c r="A20" s="36"/>
      <c r="B20" s="30" t="s">
        <v>75</v>
      </c>
      <c r="C20" s="53"/>
      <c r="D20" s="54"/>
      <c r="E20" s="71"/>
      <c r="F20" s="54"/>
      <c r="G20" s="54"/>
      <c r="H20" s="54"/>
      <c r="I20" s="71"/>
      <c r="J20" s="54"/>
      <c r="K20" s="54">
        <v>6480.38</v>
      </c>
      <c r="L20" s="7">
        <v>479.86</v>
      </c>
      <c r="M20" s="8">
        <v>479.86</v>
      </c>
      <c r="N20" s="8">
        <v>479.86</v>
      </c>
      <c r="O20" s="8">
        <v>479.86</v>
      </c>
      <c r="P20" s="8">
        <v>479.86</v>
      </c>
      <c r="Q20" s="8">
        <v>410.78</v>
      </c>
      <c r="R20" s="8">
        <v>291.08</v>
      </c>
      <c r="S20" s="8">
        <v>495.47</v>
      </c>
      <c r="T20" s="8">
        <v>495.47</v>
      </c>
      <c r="U20" s="8">
        <v>495.47</v>
      </c>
      <c r="V20" s="8">
        <v>488.04</v>
      </c>
      <c r="W20" s="16">
        <v>495.47</v>
      </c>
      <c r="X20" s="57">
        <f>SUM(L20:W20)</f>
        <v>5571.080000000001</v>
      </c>
      <c r="Y20" s="69">
        <f>SUM(C20:W20)</f>
        <v>12051.46</v>
      </c>
    </row>
    <row r="21" spans="1:25" ht="13.5" customHeight="1" thickBot="1">
      <c r="A21" s="36" t="s">
        <v>36</v>
      </c>
      <c r="B21" s="30" t="s">
        <v>5</v>
      </c>
      <c r="C21" s="53"/>
      <c r="D21" s="54">
        <v>2914.25</v>
      </c>
      <c r="E21" s="71">
        <v>820.45</v>
      </c>
      <c r="F21" s="54">
        <v>1187.02</v>
      </c>
      <c r="G21" s="54">
        <v>1238.51</v>
      </c>
      <c r="H21" s="54">
        <v>1122.2</v>
      </c>
      <c r="I21" s="71">
        <v>1245.5</v>
      </c>
      <c r="J21" s="54">
        <v>1044.46</v>
      </c>
      <c r="K21" s="54">
        <v>1584.28</v>
      </c>
      <c r="L21" s="7"/>
      <c r="M21" s="8"/>
      <c r="N21" s="8">
        <v>322.93</v>
      </c>
      <c r="O21" s="8"/>
      <c r="P21" s="8"/>
      <c r="Q21" s="8">
        <v>322.93</v>
      </c>
      <c r="R21" s="8"/>
      <c r="S21" s="8"/>
      <c r="T21" s="8">
        <v>360.19</v>
      </c>
      <c r="U21" s="8"/>
      <c r="V21" s="8"/>
      <c r="W21" s="16">
        <v>322.94</v>
      </c>
      <c r="X21" s="57">
        <f t="shared" si="2"/>
        <v>1328.99</v>
      </c>
      <c r="Y21" s="84">
        <f t="shared" si="3"/>
        <v>12485.660000000002</v>
      </c>
    </row>
    <row r="22" spans="1:25" ht="35.25" customHeight="1" thickBot="1">
      <c r="A22" s="36" t="s">
        <v>37</v>
      </c>
      <c r="B22" s="30" t="s">
        <v>63</v>
      </c>
      <c r="C22" s="53"/>
      <c r="D22" s="54">
        <v>5505.96</v>
      </c>
      <c r="E22" s="71">
        <v>19662.91</v>
      </c>
      <c r="F22" s="54">
        <v>25906.2</v>
      </c>
      <c r="G22" s="54">
        <v>23924.16</v>
      </c>
      <c r="H22" s="54">
        <v>16549.92</v>
      </c>
      <c r="I22" s="71">
        <v>19523.73</v>
      </c>
      <c r="J22" s="54">
        <v>20642.74</v>
      </c>
      <c r="K22" s="54">
        <v>20972.27</v>
      </c>
      <c r="L22" s="7">
        <v>1829.57</v>
      </c>
      <c r="M22" s="8">
        <v>1678.42</v>
      </c>
      <c r="N22" s="8">
        <v>2238.38</v>
      </c>
      <c r="O22" s="8">
        <v>1745.47</v>
      </c>
      <c r="P22" s="8">
        <v>1468.09</v>
      </c>
      <c r="Q22" s="8">
        <v>2127.81</v>
      </c>
      <c r="R22" s="8">
        <v>1730.82</v>
      </c>
      <c r="S22" s="8">
        <v>1770.03</v>
      </c>
      <c r="T22" s="8">
        <v>1454.73</v>
      </c>
      <c r="U22" s="8">
        <v>2183.71</v>
      </c>
      <c r="V22" s="8">
        <v>1930.37</v>
      </c>
      <c r="W22" s="16">
        <v>1885.04</v>
      </c>
      <c r="X22" s="65">
        <f t="shared" si="2"/>
        <v>22042.44</v>
      </c>
      <c r="Y22" s="69">
        <f t="shared" si="3"/>
        <v>174730.33000000002</v>
      </c>
    </row>
    <row r="23" spans="1:25" ht="29.25" customHeight="1" thickBot="1">
      <c r="A23" s="36" t="s">
        <v>38</v>
      </c>
      <c r="B23" s="30" t="s">
        <v>64</v>
      </c>
      <c r="C23" s="53"/>
      <c r="D23" s="54">
        <v>9591.46</v>
      </c>
      <c r="E23" s="71">
        <v>10698.59</v>
      </c>
      <c r="F23" s="54">
        <v>3214.33</v>
      </c>
      <c r="G23" s="54">
        <v>2288.01</v>
      </c>
      <c r="H23" s="54">
        <v>4978.99</v>
      </c>
      <c r="I23" s="71">
        <v>3364.7</v>
      </c>
      <c r="J23" s="54">
        <v>2936.61</v>
      </c>
      <c r="K23" s="54">
        <v>2293.98</v>
      </c>
      <c r="L23" s="7">
        <v>180.83</v>
      </c>
      <c r="M23" s="8">
        <v>121.41</v>
      </c>
      <c r="N23" s="8">
        <v>86.2</v>
      </c>
      <c r="O23" s="8">
        <v>121.13</v>
      </c>
      <c r="P23" s="8">
        <v>112.47</v>
      </c>
      <c r="Q23" s="8">
        <v>134.13</v>
      </c>
      <c r="R23" s="8">
        <v>410.17</v>
      </c>
      <c r="S23" s="8">
        <v>105.02</v>
      </c>
      <c r="T23" s="8">
        <f>130.03</f>
        <v>130.03</v>
      </c>
      <c r="U23" s="8">
        <v>112.6</v>
      </c>
      <c r="V23" s="8">
        <v>538.37</v>
      </c>
      <c r="W23" s="16">
        <v>171.14</v>
      </c>
      <c r="X23" s="57">
        <f t="shared" si="2"/>
        <v>2223.4999999999995</v>
      </c>
      <c r="Y23" s="84">
        <f t="shared" si="3"/>
        <v>41590.16999999999</v>
      </c>
    </row>
    <row r="24" spans="1:25" ht="33" customHeight="1" thickBot="1">
      <c r="A24" s="36" t="s">
        <v>54</v>
      </c>
      <c r="B24" s="30" t="s">
        <v>68</v>
      </c>
      <c r="C24" s="39"/>
      <c r="D24" s="45">
        <v>10122.47</v>
      </c>
      <c r="E24" s="72">
        <v>18175.69</v>
      </c>
      <c r="F24" s="45">
        <v>16713.22</v>
      </c>
      <c r="G24" s="45">
        <v>22443.97</v>
      </c>
      <c r="H24" s="45">
        <v>19303.88</v>
      </c>
      <c r="I24" s="72">
        <v>24665.98</v>
      </c>
      <c r="J24" s="45">
        <v>21480.17</v>
      </c>
      <c r="K24" s="45">
        <v>22625.59</v>
      </c>
      <c r="L24" s="7">
        <f>90.5+647.26+999.93</f>
        <v>1737.69</v>
      </c>
      <c r="M24" s="8">
        <f>949.35+99.18+875.64</f>
        <v>1924.17</v>
      </c>
      <c r="N24" s="8">
        <f>961.56+98.32+950.29</f>
        <v>2010.1699999999998</v>
      </c>
      <c r="O24" s="8">
        <f>1012.91+99.64+740.29</f>
        <v>1852.84</v>
      </c>
      <c r="P24" s="8">
        <f>1228.11+89.52+577.72</f>
        <v>1895.35</v>
      </c>
      <c r="Q24" s="8">
        <f>986.3+83.97+551.27</f>
        <v>1621.54</v>
      </c>
      <c r="R24" s="8">
        <f>94.49+640.59+1244.66</f>
        <v>1979.7400000000002</v>
      </c>
      <c r="S24" s="8">
        <f>100.33+964.9+973.5</f>
        <v>2038.73</v>
      </c>
      <c r="T24" s="8">
        <f>1124.19+78.93+752.9</f>
        <v>1956.02</v>
      </c>
      <c r="U24" s="8">
        <f>105.37+1354.87+1095.87</f>
        <v>2556.1099999999997</v>
      </c>
      <c r="V24" s="8">
        <f>86.33+755.64+1569.74</f>
        <v>2411.71</v>
      </c>
      <c r="W24" s="16">
        <f>1425.36+99.84+1278.84</f>
        <v>2804.04</v>
      </c>
      <c r="X24" s="65">
        <f t="shared" si="2"/>
        <v>24788.109999999997</v>
      </c>
      <c r="Y24" s="69">
        <f t="shared" si="3"/>
        <v>180319.08000000002</v>
      </c>
    </row>
    <row r="25" spans="1:25" ht="15.75" customHeight="1" thickBot="1">
      <c r="A25" s="36" t="s">
        <v>55</v>
      </c>
      <c r="B25" s="30" t="s">
        <v>9</v>
      </c>
      <c r="C25" s="39"/>
      <c r="D25" s="45">
        <v>89129.21</v>
      </c>
      <c r="E25" s="72">
        <v>166209.24</v>
      </c>
      <c r="F25" s="45">
        <v>209916.98</v>
      </c>
      <c r="G25" s="45">
        <v>221576.33</v>
      </c>
      <c r="H25" s="45">
        <v>226167.43</v>
      </c>
      <c r="I25" s="72">
        <v>258026.13</v>
      </c>
      <c r="J25" s="45">
        <v>249198.68</v>
      </c>
      <c r="K25" s="45">
        <v>246556.66</v>
      </c>
      <c r="L25" s="7">
        <f>38438.86-15334.18</f>
        <v>23104.68</v>
      </c>
      <c r="M25" s="8">
        <f>37637.79-15468.97</f>
        <v>22168.82</v>
      </c>
      <c r="N25" s="8">
        <f>59304.98-38199.93</f>
        <v>21105.050000000003</v>
      </c>
      <c r="O25" s="8">
        <f>43591.16-20772.54</f>
        <v>22818.620000000003</v>
      </c>
      <c r="P25" s="8">
        <f>40105.49-17488.55-1539.52</f>
        <v>21077.42</v>
      </c>
      <c r="Q25" s="8">
        <f>57063.18-33255.32</f>
        <v>23807.86</v>
      </c>
      <c r="R25" s="8">
        <f>50691.03-26667.3</f>
        <v>24023.73</v>
      </c>
      <c r="S25" s="8">
        <f>56401.11-33084.49</f>
        <v>23316.620000000003</v>
      </c>
      <c r="T25" s="8">
        <f>33390.02-13212.66</f>
        <v>20177.359999999997</v>
      </c>
      <c r="U25" s="8">
        <f>45416.28-23283.63</f>
        <v>22132.649999999998</v>
      </c>
      <c r="V25" s="8">
        <f>36942.84-15087.09</f>
        <v>21855.749999999996</v>
      </c>
      <c r="W25" s="16">
        <f>42003.32-18046.14-0.03</f>
        <v>23957.15</v>
      </c>
      <c r="X25" s="57">
        <f t="shared" si="2"/>
        <v>269545.71</v>
      </c>
      <c r="Y25" s="84">
        <f t="shared" si="3"/>
        <v>1936326.3699999999</v>
      </c>
    </row>
    <row r="26" spans="1:25" ht="13.5" customHeight="1" thickBot="1">
      <c r="A26" s="36" t="s">
        <v>56</v>
      </c>
      <c r="B26" s="31" t="s">
        <v>3</v>
      </c>
      <c r="C26" s="40"/>
      <c r="D26" s="46">
        <v>15922.08</v>
      </c>
      <c r="E26" s="73">
        <v>27919.21</v>
      </c>
      <c r="F26" s="46">
        <v>18380.99</v>
      </c>
      <c r="G26" s="46">
        <v>16368.85</v>
      </c>
      <c r="H26" s="46">
        <v>17328.92</v>
      </c>
      <c r="I26" s="73">
        <v>21505.41</v>
      </c>
      <c r="J26" s="46">
        <v>18274.67</v>
      </c>
      <c r="K26" s="46">
        <v>20066.55</v>
      </c>
      <c r="L26" s="9">
        <f>99.6+1420.51</f>
        <v>1520.11</v>
      </c>
      <c r="M26" s="10">
        <f>105.66+1507.39</f>
        <v>1613.0500000000002</v>
      </c>
      <c r="N26" s="10">
        <f>110.3+1573.25</f>
        <v>1683.55</v>
      </c>
      <c r="O26" s="10">
        <f>47.05+101.78+1459.21</f>
        <v>1608.04</v>
      </c>
      <c r="P26" s="10">
        <f>112.89+1602.89</f>
        <v>1715.7800000000002</v>
      </c>
      <c r="Q26" s="10">
        <f>96.06+1370.05</f>
        <v>1466.11</v>
      </c>
      <c r="R26" s="10">
        <f>97.45+1389.34</f>
        <v>1486.79</v>
      </c>
      <c r="S26" s="10">
        <f>102.74+1412.37</f>
        <v>1515.11</v>
      </c>
      <c r="T26" s="10">
        <f>34+1601.08</f>
        <v>1635.08</v>
      </c>
      <c r="U26" s="10">
        <f>30.5+1595.39</f>
        <v>1625.89</v>
      </c>
      <c r="V26" s="10">
        <f>30.75+1609.07</f>
        <v>1639.82</v>
      </c>
      <c r="W26" s="18">
        <f>34+46.59+1709.97</f>
        <v>1790.56</v>
      </c>
      <c r="X26" s="65">
        <f t="shared" si="2"/>
        <v>19299.890000000003</v>
      </c>
      <c r="Y26" s="69">
        <f t="shared" si="3"/>
        <v>175066.56999999995</v>
      </c>
    </row>
    <row r="27" spans="1:25" ht="13.5" customHeight="1" thickBot="1">
      <c r="A27" s="36"/>
      <c r="B27" s="47" t="s">
        <v>59</v>
      </c>
      <c r="C27" s="42"/>
      <c r="D27" s="48"/>
      <c r="E27" s="74"/>
      <c r="F27" s="48"/>
      <c r="G27" s="48"/>
      <c r="H27" s="82">
        <f>H8*5%</f>
        <v>22587.288</v>
      </c>
      <c r="I27" s="91">
        <f>I8*5%</f>
        <v>22591.566000000003</v>
      </c>
      <c r="J27" s="80">
        <f aca="true" t="shared" si="4" ref="J27:W27">J8*5%</f>
        <v>24691.276500000004</v>
      </c>
      <c r="K27" s="80">
        <f>K8*5%</f>
        <v>25223.590500000002</v>
      </c>
      <c r="L27" s="93">
        <f t="shared" si="4"/>
        <v>2102.3540000000003</v>
      </c>
      <c r="M27" s="80">
        <f t="shared" si="4"/>
        <v>2102.3540000000003</v>
      </c>
      <c r="N27" s="80">
        <f t="shared" si="4"/>
        <v>2102.3540000000003</v>
      </c>
      <c r="O27" s="80">
        <f t="shared" si="4"/>
        <v>2102.3540000000003</v>
      </c>
      <c r="P27" s="80">
        <f t="shared" si="4"/>
        <v>2102.3540000000003</v>
      </c>
      <c r="Q27" s="80">
        <f t="shared" si="4"/>
        <v>2102.3540000000003</v>
      </c>
      <c r="R27" s="80">
        <f t="shared" si="4"/>
        <v>2102.3540000000003</v>
      </c>
      <c r="S27" s="80">
        <f t="shared" si="4"/>
        <v>2102.3540000000003</v>
      </c>
      <c r="T27" s="80">
        <f t="shared" si="4"/>
        <v>2102.3540000000003</v>
      </c>
      <c r="U27" s="80">
        <f t="shared" si="4"/>
        <v>2102.3540000000003</v>
      </c>
      <c r="V27" s="80">
        <f t="shared" si="4"/>
        <v>2102.0955000000004</v>
      </c>
      <c r="W27" s="80">
        <f t="shared" si="4"/>
        <v>2102.0955000000004</v>
      </c>
      <c r="X27" s="80">
        <f t="shared" si="2"/>
        <v>25227.730999999996</v>
      </c>
      <c r="Y27" s="69"/>
    </row>
    <row r="28" spans="1:25" ht="14.25" customHeight="1" thickBot="1">
      <c r="A28" s="36"/>
      <c r="B28" s="68" t="s">
        <v>51</v>
      </c>
      <c r="C28" s="42"/>
      <c r="D28" s="48"/>
      <c r="E28" s="74"/>
      <c r="F28" s="48"/>
      <c r="G28" s="48"/>
      <c r="H28" s="48"/>
      <c r="I28" s="74"/>
      <c r="J28" s="48"/>
      <c r="K28" s="80">
        <f aca="true" t="shared" si="5" ref="K28:W28">SUM(K8+K9+K10-K11)-K27</f>
        <v>48033.579500000036</v>
      </c>
      <c r="L28" s="81">
        <f t="shared" si="5"/>
        <v>4760.576</v>
      </c>
      <c r="M28" s="80">
        <f t="shared" si="5"/>
        <v>5561.646</v>
      </c>
      <c r="N28" s="81">
        <f t="shared" si="5"/>
        <v>-16105.544000000002</v>
      </c>
      <c r="O28" s="80">
        <f t="shared" si="5"/>
        <v>-391.72400000001016</v>
      </c>
      <c r="P28" s="81">
        <f t="shared" si="5"/>
        <v>4633.465999999999</v>
      </c>
      <c r="Q28" s="80">
        <f t="shared" si="5"/>
        <v>-13863.744000000006</v>
      </c>
      <c r="R28" s="81">
        <f t="shared" si="5"/>
        <v>-7359.774000000006</v>
      </c>
      <c r="S28" s="80">
        <f t="shared" si="5"/>
        <v>-15421.644</v>
      </c>
      <c r="T28" s="81">
        <f t="shared" si="5"/>
        <v>7589.446000000003</v>
      </c>
      <c r="U28" s="80">
        <f t="shared" si="5"/>
        <v>-4436.813999999999</v>
      </c>
      <c r="V28" s="81">
        <f t="shared" si="5"/>
        <v>4031.654500000007</v>
      </c>
      <c r="W28" s="80">
        <f t="shared" si="5"/>
        <v>-1028.7954999999974</v>
      </c>
      <c r="X28" s="79">
        <f t="shared" si="2"/>
        <v>-32031.25100000001</v>
      </c>
      <c r="Y28" s="69"/>
    </row>
    <row r="29" spans="1:25" ht="23.25" customHeight="1" thickBot="1">
      <c r="A29" s="94" t="s">
        <v>39</v>
      </c>
      <c r="B29" s="102" t="s">
        <v>23</v>
      </c>
      <c r="C29" s="103">
        <v>44620.66</v>
      </c>
      <c r="D29" s="104">
        <v>106285.67</v>
      </c>
      <c r="E29" s="96">
        <f>SUM(E8-E11)</f>
        <v>36224.21000000002</v>
      </c>
      <c r="F29" s="97">
        <f>SUM(F8-F11)</f>
        <v>593.070000000007</v>
      </c>
      <c r="G29" s="97">
        <f>SUM(G8-G11)</f>
        <v>-41047.23999999993</v>
      </c>
      <c r="H29" s="105">
        <f>SUM(H8-H11)-H27</f>
        <v>10953.962000000058</v>
      </c>
      <c r="I29" s="106">
        <f>SUM(I8-I11)-I27</f>
        <v>-133536.02600000013</v>
      </c>
      <c r="J29" s="105">
        <f>SUM(J8-J11)-J27</f>
        <v>19988.483500000064</v>
      </c>
      <c r="K29" s="105">
        <f>SUM(K8+K9+K10-K11)-K27</f>
        <v>48033.579500000036</v>
      </c>
      <c r="L29" s="107">
        <f>SUM(L8+L9+L10-L11)-L27</f>
        <v>4760.576</v>
      </c>
      <c r="M29" s="105">
        <f>SUM(M28+L29)</f>
        <v>10322.222</v>
      </c>
      <c r="N29" s="105">
        <f aca="true" t="shared" si="6" ref="N29:W29">SUM(N28+M29)</f>
        <v>-5783.322000000002</v>
      </c>
      <c r="O29" s="105">
        <f t="shared" si="6"/>
        <v>-6175.046000000012</v>
      </c>
      <c r="P29" s="105">
        <f t="shared" si="6"/>
        <v>-1541.5800000000127</v>
      </c>
      <c r="Q29" s="105">
        <f t="shared" si="6"/>
        <v>-15405.324000000019</v>
      </c>
      <c r="R29" s="105">
        <f t="shared" si="6"/>
        <v>-22765.098000000024</v>
      </c>
      <c r="S29" s="105">
        <f t="shared" si="6"/>
        <v>-38186.74200000003</v>
      </c>
      <c r="T29" s="105">
        <f t="shared" si="6"/>
        <v>-30597.296000000024</v>
      </c>
      <c r="U29" s="105">
        <f t="shared" si="6"/>
        <v>-35034.11000000002</v>
      </c>
      <c r="V29" s="105">
        <f t="shared" si="6"/>
        <v>-31002.455500000015</v>
      </c>
      <c r="W29" s="105">
        <f t="shared" si="6"/>
        <v>-32031.25100000001</v>
      </c>
      <c r="X29" s="97"/>
      <c r="Y29" s="108"/>
    </row>
    <row r="30" spans="1:25" ht="0.75" customHeight="1" thickBot="1">
      <c r="A30" s="36" t="s">
        <v>40</v>
      </c>
      <c r="B30" s="32" t="s">
        <v>24</v>
      </c>
      <c r="C30" s="50">
        <v>44620.66</v>
      </c>
      <c r="D30" s="47">
        <v>150906.33</v>
      </c>
      <c r="E30" s="17">
        <f>SUM(E8-E11,D30)</f>
        <v>187130.54</v>
      </c>
      <c r="F30" s="57">
        <f>SUM(F8-F11,E30)</f>
        <v>187723.61000000002</v>
      </c>
      <c r="G30" s="57">
        <f>SUM(G8-G11,F30)</f>
        <v>146676.37000000008</v>
      </c>
      <c r="H30" s="80">
        <f>SUM(H29+G30)</f>
        <v>157630.33200000014</v>
      </c>
      <c r="I30" s="92">
        <f>SUM(I29+H30)</f>
        <v>24094.30600000001</v>
      </c>
      <c r="J30" s="80">
        <f>SUM(J29+I30)</f>
        <v>44082.78950000007</v>
      </c>
      <c r="K30" s="80">
        <f>SUM(K29+J30)+0.28</f>
        <v>92116.6490000001</v>
      </c>
      <c r="L30" s="80">
        <f>SUM(L29+K30)</f>
        <v>96877.22500000011</v>
      </c>
      <c r="M30" s="82">
        <f aca="true" t="shared" si="7" ref="M30:V30">SUM(M28+L30)</f>
        <v>102438.8710000001</v>
      </c>
      <c r="N30" s="82">
        <f t="shared" si="7"/>
        <v>86333.3270000001</v>
      </c>
      <c r="O30" s="80">
        <f t="shared" si="7"/>
        <v>85941.60300000009</v>
      </c>
      <c r="P30" s="81">
        <f t="shared" si="7"/>
        <v>90575.06900000009</v>
      </c>
      <c r="Q30" s="80">
        <f t="shared" si="7"/>
        <v>76711.32500000008</v>
      </c>
      <c r="R30" s="81">
        <f t="shared" si="7"/>
        <v>69351.55100000008</v>
      </c>
      <c r="S30" s="80">
        <f t="shared" si="7"/>
        <v>53929.90700000008</v>
      </c>
      <c r="T30" s="81">
        <f t="shared" si="7"/>
        <v>61519.35300000008</v>
      </c>
      <c r="U30" s="80">
        <f t="shared" si="7"/>
        <v>57082.539000000084</v>
      </c>
      <c r="V30" s="81">
        <f t="shared" si="7"/>
        <v>61114.19350000009</v>
      </c>
      <c r="W30" s="80">
        <f>SUM(W28+V30)</f>
        <v>60085.39800000009</v>
      </c>
      <c r="X30" s="57"/>
      <c r="Y30" s="59"/>
    </row>
    <row r="31" spans="1:25" ht="23.25" hidden="1" thickBot="1">
      <c r="A31" s="36" t="s">
        <v>41</v>
      </c>
      <c r="B31" s="32" t="s">
        <v>7</v>
      </c>
      <c r="C31" s="41"/>
      <c r="D31" s="47"/>
      <c r="E31" s="47"/>
      <c r="F31" s="41"/>
      <c r="G31" s="41"/>
      <c r="H31" s="41"/>
      <c r="I31" s="41"/>
      <c r="J31" s="41"/>
      <c r="K31" s="41"/>
      <c r="L31" s="1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9"/>
      <c r="X31" s="57"/>
      <c r="Y31" s="61"/>
    </row>
    <row r="32" spans="1:25" ht="15" customHeight="1" hidden="1" thickBot="1">
      <c r="A32" s="37" t="s">
        <v>42</v>
      </c>
      <c r="B32" s="33" t="s">
        <v>25</v>
      </c>
      <c r="C32" s="42"/>
      <c r="D32" s="48"/>
      <c r="E32" s="48"/>
      <c r="F32" s="42"/>
      <c r="G32" s="42"/>
      <c r="H32" s="42"/>
      <c r="I32" s="42"/>
      <c r="J32" s="42"/>
      <c r="K32" s="42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20"/>
      <c r="X32" s="66"/>
      <c r="Y32" s="60"/>
    </row>
    <row r="33" spans="1:25" ht="24" customHeight="1" hidden="1" thickBot="1">
      <c r="A33" s="37" t="s">
        <v>46</v>
      </c>
      <c r="B33" s="34" t="s">
        <v>47</v>
      </c>
      <c r="C33" s="43"/>
      <c r="D33" s="49"/>
      <c r="E33" s="49"/>
      <c r="F33" s="43"/>
      <c r="G33" s="43"/>
      <c r="H33" s="43"/>
      <c r="I33" s="43"/>
      <c r="J33" s="43"/>
      <c r="K33" s="4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>
        <f>SUM(W29-W31)</f>
        <v>-32031.25100000001</v>
      </c>
      <c r="X33" s="67"/>
      <c r="Y33" s="62"/>
    </row>
    <row r="34" spans="1:25" ht="23.25" customHeight="1" hidden="1" thickBot="1">
      <c r="A34" s="56" t="s">
        <v>48</v>
      </c>
      <c r="B34" s="34" t="s">
        <v>26</v>
      </c>
      <c r="C34" s="43"/>
      <c r="D34" s="49"/>
      <c r="E34" s="49"/>
      <c r="F34" s="43"/>
      <c r="G34" s="43"/>
      <c r="H34" s="43"/>
      <c r="I34" s="43"/>
      <c r="J34" s="43"/>
      <c r="K34" s="4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>
        <f>SUM(W30-W31)</f>
        <v>60085.39800000009</v>
      </c>
      <c r="X34" s="67"/>
      <c r="Y34" s="62"/>
    </row>
    <row r="35" spans="3:25" ht="13.5" customHeight="1" hidden="1"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3"/>
    </row>
    <row r="36" ht="12.75" hidden="1"/>
    <row r="37" ht="12.75" hidden="1"/>
    <row r="38" ht="12.75" hidden="1"/>
    <row r="39" ht="12.75" hidden="1"/>
    <row r="40" ht="12.75">
      <c r="B40" t="s">
        <v>67</v>
      </c>
    </row>
    <row r="44" ht="12.75" customHeight="1"/>
    <row r="45" ht="12.75" customHeight="1"/>
  </sheetData>
  <sheetProtection/>
  <mergeCells count="5">
    <mergeCell ref="B4:Y4"/>
    <mergeCell ref="B5:Y5"/>
    <mergeCell ref="B3:Y3"/>
    <mergeCell ref="B1:N1"/>
    <mergeCell ref="B2:W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2019-02-08T13:06:23Z</cp:lastPrinted>
  <dcterms:created xsi:type="dcterms:W3CDTF">2011-06-16T11:06:26Z</dcterms:created>
  <dcterms:modified xsi:type="dcterms:W3CDTF">2019-02-12T11:44:20Z</dcterms:modified>
  <cp:category/>
  <cp:version/>
  <cp:contentType/>
  <cp:contentStatus/>
</cp:coreProperties>
</file>