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<sst xmlns="http://schemas.openxmlformats.org/spreadsheetml/2006/main" count="69" uniqueCount="68">
  <si>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СПРАВКА</t>
  </si>
  <si>
    <t xml:space="preserve">Начислено  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</si>
  <si>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</si>
  <si>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</si>
  <si>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</si>
  <si>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</si>
  <si>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</si>
  <si>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</si>
  <si>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</si>
  <si>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</si>
  <si>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</si>
  <si>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</si>
  <si>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</si>
  <si>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</si>
  <si>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</si>
  <si>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</si>
  <si>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</si>
  <si>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</si>
  <si>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</si>
  <si>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</si>
  <si>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</si>
  <si>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</si>
  <si>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</si>
  <si>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</si>
  <si>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</si>
  <si>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</si>
  <si>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</si>
  <si>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</si>
  <si>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</si>
  <si>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</si>
  <si>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</si>
  <si>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</si>
  <si>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</si>
  <si>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</si>
  <si>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</si>
  <si>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</si>
  <si>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</si>
  <si>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</si>
  <si>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</si>
  <si>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</si>
  <si>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</si>
  <si>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</si>
  <si>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</si>
  <si>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</si>
  <si>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пер.Мира д.2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</si>
  <si>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</si>
  <si>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</si>
  <si>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</si>
  <si>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</si>
  <si>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</si>
  <si>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</si>
  <si>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</si>
  <si>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</si>
  <si>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Итого за 2013 г</t>
  </si>
  <si>
    <t>Итого за 2014 г</t>
  </si>
  <si>
    <t>рентабельность 5%</t>
  </si>
  <si>
    <t>Дом по пер.Мира д.2  вступил в ООО "Наш  дом"  с февраля 2010 года                                                                  тариф 9,2 руб</t>
  </si>
  <si>
    <t>Услуги сторонних орган.</t>
  </si>
  <si>
    <t xml:space="preserve">Материалы 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</si>
  <si>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</si>
  <si>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</si>
  <si>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</si>
  <si>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/ВиктороваЛ.С./</t>
  </si>
  <si>
    <t>Итого за 2015 г</t>
  </si>
  <si>
    <t>Итого за 2016 г</t>
  </si>
  <si>
    <t>Итого за 2017 г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</si>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</sst>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5" xfId="0" applyFont="1" applyFill="1" applyBorder="1" applyAlignment="1">
      <alignment/>
    </xf>
    <xf numFmtId="0" fontId="20" fillId="2" borderId="2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wrapText="1"/>
    </xf>
    <xf numFmtId="49" fontId="21" fillId="0" borderId="22" xfId="0" applyNumberFormat="1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3" fillId="0" borderId="29" xfId="0" applyFont="1" applyBorder="1" applyAlignment="1">
      <alignment horizontal="left" vertical="center"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2" fontId="21" fillId="0" borderId="31" xfId="0" applyNumberFormat="1" applyFont="1" applyBorder="1" applyAlignment="1">
      <alignment wrapText="1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8" xfId="0" applyNumberFormat="1" applyFont="1" applyBorder="1" applyAlignment="1">
      <alignment/>
    </xf>
    <xf numFmtId="2" fontId="21" fillId="0" borderId="27" xfId="0" applyNumberFormat="1" applyFont="1" applyBorder="1" applyAlignment="1">
      <alignment wrapText="1"/>
    </xf>
    <xf numFmtId="2" fontId="21" fillId="0" borderId="13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28" xfId="0" applyNumberFormat="1" applyFont="1" applyBorder="1" applyAlignment="1">
      <alignment wrapText="1"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2" borderId="21" xfId="0" applyFill="1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0" fillId="2" borderId="30" xfId="0" applyFont="1" applyFill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21" fillId="0" borderId="37" xfId="0" applyFont="1" applyBorder="1" applyAlignment="1">
      <alignment wrapText="1"/>
    </xf>
    <xf numFmtId="2" fontId="21" fillId="0" borderId="38" xfId="0" applyNumberFormat="1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2" borderId="20" xfId="0" applyFont="1" applyFill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/>
    </xf>
    <xf numFmtId="0" fontId="21" fillId="2" borderId="29" xfId="0" applyFont="1" applyFill="1" applyBorder="1" applyAlignment="1">
      <alignment wrapText="1"/>
    </xf>
    <xf numFmtId="2" fontId="21" fillId="0" borderId="40" xfId="0" applyNumberFormat="1" applyFont="1" applyBorder="1" applyAlignment="1">
      <alignment wrapText="1"/>
    </xf>
    <xf numFmtId="2" fontId="21" fillId="0" borderId="41" xfId="0" applyNumberFormat="1" applyFont="1" applyBorder="1" applyAlignment="1">
      <alignment wrapText="1"/>
    </xf>
    <xf numFmtId="2" fontId="21" fillId="0" borderId="42" xfId="0" applyNumberFormat="1" applyFont="1" applyBorder="1" applyAlignment="1">
      <alignment wrapText="1"/>
    </xf>
    <xf numFmtId="2" fontId="21" fillId="0" borderId="43" xfId="0" applyNumberFormat="1" applyFont="1" applyBorder="1" applyAlignment="1">
      <alignment wrapText="1"/>
    </xf>
    <xf numFmtId="0" fontId="21" fillId="0" borderId="26" xfId="0" applyFont="1" applyBorder="1" applyAlignment="1">
      <alignment/>
    </xf>
    <xf numFmtId="0" fontId="21" fillId="0" borderId="38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6" fillId="0" borderId="26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2" fontId="21" fillId="0" borderId="44" xfId="0" applyNumberFormat="1" applyFont="1" applyBorder="1" applyAlignment="1">
      <alignment wrapText="1"/>
    </xf>
    <xf numFmtId="2" fontId="21" fillId="0" borderId="29" xfId="0" applyNumberFormat="1" applyFont="1" applyBorder="1" applyAlignment="1">
      <alignment wrapText="1"/>
    </xf>
    <xf numFmtId="2" fontId="21" fillId="0" borderId="29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0" fontId="21" fillId="0" borderId="37" xfId="0" applyFont="1" applyBorder="1" applyAlignment="1">
      <alignment/>
    </xf>
    <xf numFmtId="2" fontId="21" fillId="0" borderId="49" xfId="0" applyNumberFormat="1" applyFont="1" applyBorder="1" applyAlignment="1">
      <alignment/>
    </xf>
    <xf numFmtId="0" fontId="26" fillId="0" borderId="31" xfId="0" applyFont="1" applyBorder="1" applyAlignment="1">
      <alignment wrapText="1"/>
    </xf>
    <xf numFmtId="0" fontId="27" fillId="0" borderId="26" xfId="0" applyFont="1" applyBorder="1" applyAlignment="1">
      <alignment/>
    </xf>
    <xf numFmtId="2" fontId="27" fillId="0" borderId="21" xfId="0" applyNumberFormat="1" applyFont="1" applyBorder="1" applyAlignment="1">
      <alignment/>
    </xf>
    <xf numFmtId="2" fontId="27" fillId="0" borderId="37" xfId="0" applyNumberFormat="1" applyFont="1" applyBorder="1" applyAlignment="1">
      <alignment horizontal="right"/>
    </xf>
    <xf numFmtId="2" fontId="27" fillId="0" borderId="37" xfId="0" applyNumberFormat="1" applyFont="1" applyBorder="1" applyAlignment="1">
      <alignment/>
    </xf>
    <xf numFmtId="2" fontId="21" fillId="0" borderId="48" xfId="0" applyNumberFormat="1" applyFont="1" applyBorder="1" applyAlignment="1">
      <alignment wrapText="1"/>
    </xf>
    <xf numFmtId="0" fontId="26" fillId="0" borderId="40" xfId="0" applyFont="1" applyBorder="1" applyAlignment="1">
      <alignment wrapText="1"/>
    </xf>
    <xf numFmtId="2" fontId="21" fillId="0" borderId="50" xfId="0" applyNumberFormat="1" applyFont="1" applyBorder="1" applyAlignment="1">
      <alignment/>
    </xf>
    <xf numFmtId="2" fontId="21" fillId="0" borderId="50" xfId="0" applyNumberFormat="1" applyFont="1" applyBorder="1" applyAlignment="1">
      <alignment wrapText="1"/>
    </xf>
    <xf numFmtId="0" fontId="19" fillId="0" borderId="21" xfId="0" applyFont="1" applyBorder="1" applyAlignment="1">
      <alignment wrapText="1"/>
    </xf>
    <xf numFmtId="2" fontId="28" fillId="0" borderId="51" xfId="0" applyNumberFormat="1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51" xfId="0" applyFont="1" applyBorder="1" applyAlignment="1">
      <alignment/>
    </xf>
    <xf numFmtId="0" fontId="28" fillId="0" borderId="14" xfId="0" applyFont="1" applyBorder="1" applyAlignment="1">
      <alignment/>
    </xf>
    <xf numFmtId="2" fontId="29" fillId="0" borderId="21" xfId="0" applyNumberFormat="1" applyFont="1" applyBorder="1" applyAlignment="1">
      <alignment/>
    </xf>
    <xf numFmtId="2" fontId="28" fillId="0" borderId="29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52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2" fontId="21" fillId="0" borderId="30" xfId="0" applyNumberFormat="1" applyFont="1" applyBorder="1" applyAlignment="1">
      <alignment/>
    </xf>
    <xf numFmtId="2" fontId="21" fillId="0" borderId="53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0" fontId="25" fillId="0" borderId="25" xfId="0" applyFont="1" applyBorder="1" applyAlignment="1">
      <alignment/>
    </xf>
    <xf numFmtId="49" fontId="22" fillId="0" borderId="29" xfId="0" applyNumberFormat="1" applyFont="1" applyBorder="1" applyAlignment="1">
      <alignment horizontal="center"/>
    </xf>
    <xf numFmtId="0" fontId="28" fillId="0" borderId="21" xfId="0" applyFont="1" applyBorder="1" applyAlignment="1">
      <alignment wrapText="1"/>
    </xf>
    <xf numFmtId="0" fontId="28" fillId="0" borderId="44" xfId="0" applyFont="1" applyBorder="1" applyAlignment="1">
      <alignment wrapText="1"/>
    </xf>
    <xf numFmtId="2" fontId="28" fillId="0" borderId="44" xfId="0" applyNumberFormat="1" applyFont="1" applyBorder="1" applyAlignment="1">
      <alignment/>
    </xf>
    <xf numFmtId="0" fontId="30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5">
      <selection activeCell="R18" sqref="R18"/>
    </sheetView>
  </sheetViews>
  <sheetFormatPr defaultColWidth="9.00390625" defaultRowHeight="12.75"/>
  <cols>
    <col min="1" max="1" width="4.75390625" style="22" customWidth="1"/>
    <col min="2" max="2" width="18.75390625" style="0" customWidth="1"/>
    <col min="3" max="3" width="7.375" style="0" hidden="1" customWidth="1"/>
    <col min="4" max="4" width="8.00390625" style="0" hidden="1" customWidth="1"/>
    <col min="5" max="5" width="9.00390625" style="0" hidden="1" customWidth="1"/>
    <col min="6" max="6" width="10.625" style="0" hidden="1" customWidth="1"/>
    <col min="7" max="7" width="9.00390625" style="0" hidden="1" customWidth="1"/>
    <col min="8" max="8" width="8.75390625" style="0" hidden="1" customWidth="1"/>
    <col min="9" max="9" width="9.125" style="0" hidden="1" customWidth="1"/>
    <col min="10" max="10" width="9.00390625" style="0" hidden="1" customWidth="1"/>
    <col min="11" max="11" width="9.00390625" style="0" customWidth="1"/>
    <col min="12" max="12" width="8.00390625" style="0" customWidth="1"/>
    <col min="13" max="13" width="8.75390625" style="0" customWidth="1"/>
    <col min="14" max="14" width="8.375" style="0" customWidth="1"/>
    <col min="15" max="15" width="9.25390625" style="0" customWidth="1"/>
    <col min="16" max="16" width="8.625" style="0" customWidth="1"/>
    <col min="17" max="18" width="8.25390625" style="0" customWidth="1"/>
    <col min="19" max="19" width="7.875" style="0" customWidth="1"/>
    <col min="20" max="20" width="8.375" style="0" customWidth="1"/>
    <col min="21" max="21" width="8.25390625" style="0" customWidth="1"/>
    <col min="22" max="22" width="9.375" style="0" customWidth="1"/>
    <col min="23" max="23" width="9.00390625" style="0" customWidth="1"/>
    <col min="24" max="24" width="10.25390625" style="0" customWidth="1"/>
  </cols>
  <sheetData>
    <row r="1" spans="2:29" ht="12.75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04" t="s">
        <v>56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33"/>
      <c r="X2" s="4"/>
      <c r="Y2" s="4"/>
      <c r="Z2" s="4"/>
      <c r="AA2" s="4"/>
      <c r="AB2" s="4"/>
      <c r="AC2" s="4"/>
    </row>
    <row r="3" spans="2:29" ht="12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2.75" customHeight="1">
      <c r="B4" s="103" t="s">
        <v>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3"/>
      <c r="Z4" s="3"/>
      <c r="AA4" s="3"/>
      <c r="AB4" s="3"/>
      <c r="AC4" s="3"/>
    </row>
    <row r="5" spans="2:29" ht="15" customHeight="1">
      <c r="B5" s="102" t="s">
        <v>10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2"/>
      <c r="Z5" s="2"/>
      <c r="AA5" s="2"/>
      <c r="AB5" s="2"/>
      <c r="AC5" s="2"/>
    </row>
    <row r="6" spans="2:29" ht="16.5" customHeight="1">
      <c r="B6" s="102" t="s">
        <v>44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2"/>
      <c r="Z6" s="2"/>
      <c r="AA6" s="2"/>
      <c r="AB6" s="2"/>
      <c r="AC6" s="2"/>
    </row>
    <row r="7" spans="2:29" ht="16.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  <c r="AA7" s="2"/>
      <c r="AB7" s="2"/>
      <c r="AC7" s="2"/>
    </row>
    <row r="8" spans="1:29" ht="35.25" customHeight="1" thickBot="1">
      <c r="A8" s="30" t="s">
        <v>27</v>
      </c>
      <c r="B8" s="23" t="s">
        <v>6</v>
      </c>
      <c r="C8" s="34" t="s">
        <v>45</v>
      </c>
      <c r="D8" s="71" t="s">
        <v>48</v>
      </c>
      <c r="E8" s="53" t="s">
        <v>50</v>
      </c>
      <c r="F8" s="53" t="s">
        <v>53</v>
      </c>
      <c r="G8" s="53" t="s">
        <v>54</v>
      </c>
      <c r="H8" s="71" t="s">
        <v>63</v>
      </c>
      <c r="I8" s="53" t="s">
        <v>64</v>
      </c>
      <c r="J8" s="53" t="s">
        <v>65</v>
      </c>
      <c r="K8" s="62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5" t="s">
        <v>20</v>
      </c>
      <c r="U8" s="5" t="s">
        <v>22</v>
      </c>
      <c r="V8" s="13" t="s">
        <v>21</v>
      </c>
      <c r="W8" s="53" t="s">
        <v>66</v>
      </c>
      <c r="X8" s="57" t="s">
        <v>67</v>
      </c>
      <c r="Y8" s="1"/>
      <c r="Z8" s="1"/>
      <c r="AA8" s="1"/>
      <c r="AB8" s="1"/>
      <c r="AC8" s="1"/>
    </row>
    <row r="9" spans="1:24" ht="13.5" thickBot="1">
      <c r="A9" s="31" t="s">
        <v>28</v>
      </c>
      <c r="B9" s="24" t="s">
        <v>1</v>
      </c>
      <c r="C9" s="73">
        <v>25623.84</v>
      </c>
      <c r="D9" s="74">
        <v>28107.84</v>
      </c>
      <c r="E9" s="73">
        <v>28218.24</v>
      </c>
      <c r="F9" s="73">
        <v>28218.24</v>
      </c>
      <c r="G9" s="85">
        <v>28218.24</v>
      </c>
      <c r="H9" s="91">
        <v>28218.24</v>
      </c>
      <c r="I9" s="73">
        <v>28218.24</v>
      </c>
      <c r="J9" s="73">
        <v>28218.24</v>
      </c>
      <c r="K9" s="8">
        <v>2351.52</v>
      </c>
      <c r="L9" s="6">
        <v>2351.52</v>
      </c>
      <c r="M9" s="7">
        <v>2351.52</v>
      </c>
      <c r="N9" s="7">
        <v>2351.52</v>
      </c>
      <c r="O9" s="7">
        <v>2351.52</v>
      </c>
      <c r="P9" s="7">
        <v>2351.52</v>
      </c>
      <c r="Q9" s="7">
        <v>2351.52</v>
      </c>
      <c r="R9" s="7">
        <v>2351.52</v>
      </c>
      <c r="S9" s="7">
        <v>2351.52</v>
      </c>
      <c r="T9" s="7">
        <v>2351.52</v>
      </c>
      <c r="U9" s="7">
        <v>2351.52</v>
      </c>
      <c r="V9" s="14">
        <v>2351.52</v>
      </c>
      <c r="W9" s="69">
        <f>SUM(K9:V9)</f>
        <v>28218.24</v>
      </c>
      <c r="X9" s="86">
        <f>SUM(C9:V9)</f>
        <v>251259.35999999984</v>
      </c>
    </row>
    <row r="10" spans="1:24" ht="13.5" thickBot="1">
      <c r="A10" s="31" t="s">
        <v>29</v>
      </c>
      <c r="B10" s="94" t="s">
        <v>2</v>
      </c>
      <c r="C10" s="95">
        <f aca="true" t="shared" si="0" ref="C10:K10">SUM(C11:C20)</f>
        <v>21361.186</v>
      </c>
      <c r="D10" s="96">
        <f t="shared" si="0"/>
        <v>23578.620000000003</v>
      </c>
      <c r="E10" s="97">
        <f t="shared" si="0"/>
        <v>23738.08</v>
      </c>
      <c r="F10" s="97">
        <f t="shared" si="0"/>
        <v>31285.440000000002</v>
      </c>
      <c r="G10" s="97">
        <f t="shared" si="0"/>
        <v>26356.56</v>
      </c>
      <c r="H10" s="98">
        <f>SUM(H11:H20)</f>
        <v>26243.59</v>
      </c>
      <c r="I10" s="97">
        <f>SUM(I11:I20)</f>
        <v>25430.860000000004</v>
      </c>
      <c r="J10" s="97">
        <f>SUM(J11:J20)</f>
        <v>25786.92</v>
      </c>
      <c r="K10" s="99">
        <f t="shared" si="0"/>
        <v>2241.7000000000003</v>
      </c>
      <c r="L10" s="99">
        <f aca="true" t="shared" si="1" ref="L10:V10">SUM(L11:L20)</f>
        <v>2137.97</v>
      </c>
      <c r="M10" s="99">
        <f t="shared" si="1"/>
        <v>2304.01</v>
      </c>
      <c r="N10" s="99">
        <f t="shared" si="1"/>
        <v>2126.1</v>
      </c>
      <c r="O10" s="99">
        <f t="shared" si="1"/>
        <v>2571.06</v>
      </c>
      <c r="P10" s="99">
        <f t="shared" si="1"/>
        <v>2288.9</v>
      </c>
      <c r="Q10" s="99">
        <f t="shared" si="1"/>
        <v>2167.7400000000002</v>
      </c>
      <c r="R10" s="99">
        <f t="shared" si="1"/>
        <v>2200.89</v>
      </c>
      <c r="S10" s="99">
        <f t="shared" si="1"/>
        <v>2285.81</v>
      </c>
      <c r="T10" s="99">
        <f t="shared" si="1"/>
        <v>7055.4</v>
      </c>
      <c r="U10" s="99">
        <f t="shared" si="1"/>
        <v>2321.8700000000003</v>
      </c>
      <c r="V10" s="98">
        <f t="shared" si="1"/>
        <v>2410.0899999999997</v>
      </c>
      <c r="W10" s="97">
        <f>SUM(K10:V10)</f>
        <v>32111.54</v>
      </c>
      <c r="X10" s="100">
        <f>SUM(C10:V10)</f>
        <v>235892.796</v>
      </c>
    </row>
    <row r="11" spans="1:24" ht="13.5" thickBot="1">
      <c r="A11" s="31" t="s">
        <v>30</v>
      </c>
      <c r="B11" s="25" t="s">
        <v>4</v>
      </c>
      <c r="C11" s="65">
        <v>4474.35</v>
      </c>
      <c r="D11" s="65">
        <v>5501.7</v>
      </c>
      <c r="E11" s="39">
        <v>6206.4</v>
      </c>
      <c r="F11" s="39">
        <v>6137.12</v>
      </c>
      <c r="G11" s="39">
        <v>7027.8</v>
      </c>
      <c r="H11" s="65">
        <v>6464.2</v>
      </c>
      <c r="I11" s="39">
        <v>5943.45</v>
      </c>
      <c r="J11" s="39">
        <v>5929.1</v>
      </c>
      <c r="K11" s="40">
        <f>424+17.14</f>
        <v>441.14</v>
      </c>
      <c r="L11" s="40">
        <f>424+25.06</f>
        <v>449.06</v>
      </c>
      <c r="M11" s="41">
        <f>424+13.35</f>
        <v>437.35</v>
      </c>
      <c r="N11" s="41">
        <f>424+37.6</f>
        <v>461.6</v>
      </c>
      <c r="O11" s="41">
        <f>424+35.13</f>
        <v>459.13</v>
      </c>
      <c r="P11" s="41">
        <f>424+36.09</f>
        <v>460.09000000000003</v>
      </c>
      <c r="Q11" s="41">
        <f>424+30.79</f>
        <v>454.79</v>
      </c>
      <c r="R11" s="41">
        <f>424+38.93</f>
        <v>462.93</v>
      </c>
      <c r="S11" s="41">
        <f>424+28.94</f>
        <v>452.94</v>
      </c>
      <c r="T11" s="41">
        <f>371+20.87</f>
        <v>391.87</v>
      </c>
      <c r="U11" s="41">
        <f>371+24.23</f>
        <v>395.23</v>
      </c>
      <c r="V11" s="42">
        <f>371+22.27</f>
        <v>393.27</v>
      </c>
      <c r="W11" s="70">
        <f aca="true" t="shared" si="2" ref="W11:W22">SUM(K11:V11)</f>
        <v>5259.4000000000015</v>
      </c>
      <c r="X11" s="88">
        <f>SUM(C11:V11)</f>
        <v>52943.51999999999</v>
      </c>
    </row>
    <row r="12" spans="1:24" ht="15.75" customHeight="1" thickBot="1">
      <c r="A12" s="31" t="s">
        <v>31</v>
      </c>
      <c r="B12" s="26" t="s">
        <v>57</v>
      </c>
      <c r="C12" s="66">
        <v>5694.86</v>
      </c>
      <c r="D12" s="66">
        <v>2555.47</v>
      </c>
      <c r="E12" s="43">
        <v>8.06</v>
      </c>
      <c r="F12" s="43">
        <v>4.69</v>
      </c>
      <c r="G12" s="43"/>
      <c r="H12" s="66">
        <v>0</v>
      </c>
      <c r="I12" s="43">
        <v>16.09</v>
      </c>
      <c r="J12" s="43">
        <v>0</v>
      </c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54">
        <f t="shared" si="2"/>
        <v>0</v>
      </c>
      <c r="X12" s="87">
        <f>SUM(C12:V12)</f>
        <v>8279.17</v>
      </c>
    </row>
    <row r="13" spans="1:24" ht="14.25" customHeight="1" thickBot="1">
      <c r="A13" s="31" t="s">
        <v>32</v>
      </c>
      <c r="B13" s="26" t="s">
        <v>58</v>
      </c>
      <c r="C13" s="66">
        <v>3263.38</v>
      </c>
      <c r="D13" s="66">
        <v>258.27</v>
      </c>
      <c r="E13" s="43">
        <v>238.38</v>
      </c>
      <c r="F13" s="43">
        <v>6948.77</v>
      </c>
      <c r="G13" s="43">
        <v>80.81</v>
      </c>
      <c r="H13" s="66">
        <v>352.23</v>
      </c>
      <c r="I13" s="43">
        <v>1069.22</v>
      </c>
      <c r="J13" s="43">
        <v>1025</v>
      </c>
      <c r="K13" s="44">
        <v>45</v>
      </c>
      <c r="L13" s="44"/>
      <c r="M13" s="45"/>
      <c r="N13" s="45"/>
      <c r="O13" s="45">
        <v>300</v>
      </c>
      <c r="P13" s="45"/>
      <c r="Q13" s="45"/>
      <c r="R13" s="45">
        <v>90</v>
      </c>
      <c r="S13" s="45"/>
      <c r="T13" s="45">
        <v>4499.92</v>
      </c>
      <c r="U13" s="45"/>
      <c r="V13" s="46"/>
      <c r="W13" s="54">
        <f t="shared" si="2"/>
        <v>4934.92</v>
      </c>
      <c r="X13" s="87">
        <f aca="true" t="shared" si="3" ref="X13:X19">SUM(C13:V13)</f>
        <v>18170.98</v>
      </c>
    </row>
    <row r="14" spans="1:24" ht="22.5" customHeight="1" thickBot="1">
      <c r="A14" s="31" t="s">
        <v>33</v>
      </c>
      <c r="B14" s="26" t="s">
        <v>51</v>
      </c>
      <c r="C14" s="66">
        <v>60.93</v>
      </c>
      <c r="D14" s="66">
        <v>0</v>
      </c>
      <c r="E14" s="43">
        <v>256</v>
      </c>
      <c r="F14" s="43">
        <v>0</v>
      </c>
      <c r="G14" s="43">
        <v>5.33</v>
      </c>
      <c r="H14" s="66">
        <v>0</v>
      </c>
      <c r="I14" s="43">
        <v>51</v>
      </c>
      <c r="J14" s="43">
        <v>8</v>
      </c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54">
        <f t="shared" si="2"/>
        <v>0</v>
      </c>
      <c r="X14" s="89">
        <f t="shared" si="3"/>
        <v>381.26</v>
      </c>
    </row>
    <row r="15" spans="1:24" ht="23.25" customHeight="1" thickBot="1">
      <c r="A15" s="31" t="s">
        <v>34</v>
      </c>
      <c r="B15" s="26" t="s">
        <v>5</v>
      </c>
      <c r="C15" s="66">
        <v>543.23</v>
      </c>
      <c r="D15" s="66">
        <v>60.93</v>
      </c>
      <c r="E15" s="43">
        <v>0</v>
      </c>
      <c r="F15" s="43">
        <v>0</v>
      </c>
      <c r="G15" s="43"/>
      <c r="H15" s="66">
        <v>0</v>
      </c>
      <c r="I15" s="43">
        <v>0</v>
      </c>
      <c r="J15" s="43">
        <v>0</v>
      </c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54">
        <f t="shared" si="2"/>
        <v>0</v>
      </c>
      <c r="X15" s="87">
        <f t="shared" si="3"/>
        <v>604.16</v>
      </c>
    </row>
    <row r="16" spans="1:24" ht="36" customHeight="1" thickBot="1">
      <c r="A16" s="31" t="s">
        <v>35</v>
      </c>
      <c r="B16" s="26" t="s">
        <v>59</v>
      </c>
      <c r="C16" s="66">
        <v>344.83</v>
      </c>
      <c r="D16" s="66">
        <v>1237.78</v>
      </c>
      <c r="E16" s="43">
        <v>1564.25</v>
      </c>
      <c r="F16" s="43">
        <v>1684.87</v>
      </c>
      <c r="G16" s="43">
        <v>1041.54</v>
      </c>
      <c r="H16" s="66">
        <v>1228.42</v>
      </c>
      <c r="I16" s="43">
        <v>1299.02</v>
      </c>
      <c r="J16" s="43">
        <v>1319.74</v>
      </c>
      <c r="K16" s="44">
        <v>115.11</v>
      </c>
      <c r="L16" s="44">
        <v>103.95</v>
      </c>
      <c r="M16" s="45">
        <v>140.83</v>
      </c>
      <c r="N16" s="45">
        <v>109.82</v>
      </c>
      <c r="O16" s="45">
        <v>92.37</v>
      </c>
      <c r="P16" s="45">
        <v>133.88</v>
      </c>
      <c r="Q16" s="45">
        <v>108.9</v>
      </c>
      <c r="R16" s="45">
        <v>111.37</v>
      </c>
      <c r="S16" s="45">
        <v>91.53</v>
      </c>
      <c r="T16" s="45">
        <v>137.39</v>
      </c>
      <c r="U16" s="45">
        <v>121.47</v>
      </c>
      <c r="V16" s="46">
        <v>118.62</v>
      </c>
      <c r="W16" s="70">
        <f t="shared" si="2"/>
        <v>1385.2399999999998</v>
      </c>
      <c r="X16" s="89">
        <f t="shared" si="3"/>
        <v>11105.69</v>
      </c>
    </row>
    <row r="17" spans="1:24" ht="36" customHeight="1" thickBot="1">
      <c r="A17" s="31" t="s">
        <v>36</v>
      </c>
      <c r="B17" s="26" t="s">
        <v>60</v>
      </c>
      <c r="C17" s="66">
        <v>609.6</v>
      </c>
      <c r="D17" s="66">
        <v>672.27</v>
      </c>
      <c r="E17" s="43">
        <v>202.66</v>
      </c>
      <c r="F17" s="43">
        <v>144.09</v>
      </c>
      <c r="G17" s="43">
        <v>313.29</v>
      </c>
      <c r="H17" s="66">
        <v>211.69</v>
      </c>
      <c r="I17" s="43">
        <v>184.79</v>
      </c>
      <c r="J17" s="43">
        <v>144.36</v>
      </c>
      <c r="K17" s="44">
        <v>11.38</v>
      </c>
      <c r="L17" s="44">
        <v>7.52</v>
      </c>
      <c r="M17" s="45">
        <v>5.42</v>
      </c>
      <c r="N17" s="45">
        <v>7.62</v>
      </c>
      <c r="O17" s="45">
        <v>7.08</v>
      </c>
      <c r="P17" s="45">
        <v>8.44</v>
      </c>
      <c r="Q17" s="45">
        <v>25.81</v>
      </c>
      <c r="R17" s="45">
        <v>6.61</v>
      </c>
      <c r="S17" s="45">
        <v>8.18</v>
      </c>
      <c r="T17" s="45">
        <v>7.08</v>
      </c>
      <c r="U17" s="45">
        <v>33.88</v>
      </c>
      <c r="V17" s="46">
        <v>10.77</v>
      </c>
      <c r="W17" s="54">
        <f t="shared" si="2"/>
        <v>139.79000000000002</v>
      </c>
      <c r="X17" s="87">
        <f t="shared" si="3"/>
        <v>2622.54</v>
      </c>
    </row>
    <row r="18" spans="1:24" ht="39.75" customHeight="1" thickBot="1">
      <c r="A18" s="31" t="s">
        <v>37</v>
      </c>
      <c r="B18" s="26" t="s">
        <v>61</v>
      </c>
      <c r="C18" s="66">
        <v>195.61</v>
      </c>
      <c r="D18" s="66">
        <v>1087.34</v>
      </c>
      <c r="E18" s="43">
        <v>1053.41</v>
      </c>
      <c r="F18" s="43">
        <v>1413.18</v>
      </c>
      <c r="G18" s="43">
        <v>1214.9</v>
      </c>
      <c r="H18" s="66">
        <v>1576.5</v>
      </c>
      <c r="I18" s="43">
        <v>1381.73</v>
      </c>
      <c r="J18" s="43">
        <v>1423.83</v>
      </c>
      <c r="K18" s="44">
        <f>5.69+40.72+62.91</f>
        <v>109.32</v>
      </c>
      <c r="L18" s="44">
        <f>58.8+6.24+55.09</f>
        <v>120.13</v>
      </c>
      <c r="M18" s="45">
        <f>60.5+6.19+59.79</f>
        <v>126.47999999999999</v>
      </c>
      <c r="N18" s="45">
        <f>63.73+6.27+46.58</f>
        <v>116.58</v>
      </c>
      <c r="O18" s="45">
        <f>77.27+5.63+36.35</f>
        <v>119.25</v>
      </c>
      <c r="P18" s="45">
        <f>62.05+5.28+34.68</f>
        <v>102.00999999999999</v>
      </c>
      <c r="Q18" s="45">
        <f>5.94+40.3+78.31</f>
        <v>124.55</v>
      </c>
      <c r="R18" s="45">
        <f>6.31+61.25+60.71</f>
        <v>128.27</v>
      </c>
      <c r="S18" s="45">
        <f>70.73+4.97+47.37</f>
        <v>123.07</v>
      </c>
      <c r="T18" s="45">
        <f>6.63+85.24+68.95</f>
        <v>160.82</v>
      </c>
      <c r="U18" s="45">
        <f>5.43+47.55+98.78</f>
        <v>151.76</v>
      </c>
      <c r="V18" s="46">
        <f>89.69+6.28+80.47</f>
        <v>176.44</v>
      </c>
      <c r="W18" s="70">
        <f t="shared" si="2"/>
        <v>1558.6799999999998</v>
      </c>
      <c r="X18" s="89">
        <f t="shared" si="3"/>
        <v>10905.179999999998</v>
      </c>
    </row>
    <row r="19" spans="1:24" ht="15.75" customHeight="1" thickBot="1">
      <c r="A19" s="31" t="s">
        <v>38</v>
      </c>
      <c r="B19" s="26" t="s">
        <v>9</v>
      </c>
      <c r="C19" s="66">
        <v>5500.39</v>
      </c>
      <c r="D19" s="66">
        <v>10456.2</v>
      </c>
      <c r="E19" s="43">
        <v>13231.85</v>
      </c>
      <c r="F19" s="43">
        <v>13962.26</v>
      </c>
      <c r="G19" s="43">
        <v>14292.58</v>
      </c>
      <c r="H19" s="66">
        <v>15617.71</v>
      </c>
      <c r="I19" s="43">
        <v>14331.5</v>
      </c>
      <c r="J19" s="43">
        <v>15144.04</v>
      </c>
      <c r="K19" s="44">
        <f>2241.7-788.02</f>
        <v>1453.6799999999998</v>
      </c>
      <c r="L19" s="44">
        <f>2137.97-746.73</f>
        <v>1391.2399999999998</v>
      </c>
      <c r="M19" s="45">
        <f>2104.01-776.15+200</f>
        <v>1527.8600000000001</v>
      </c>
      <c r="N19" s="45">
        <f>2126.1-761.69</f>
        <v>1364.4099999999999</v>
      </c>
      <c r="O19" s="45">
        <f>2371.06-1043.9+200</f>
        <v>1527.1599999999999</v>
      </c>
      <c r="P19" s="45">
        <f>2088.9-770.49+200</f>
        <v>1518.41</v>
      </c>
      <c r="Q19" s="45">
        <f>2167.74-780.12</f>
        <v>1387.62</v>
      </c>
      <c r="R19" s="45">
        <f>2200.89-865.25</f>
        <v>1335.6399999999999</v>
      </c>
      <c r="S19" s="45">
        <f>1985.81-741.79+300</f>
        <v>1544.02</v>
      </c>
      <c r="T19" s="45">
        <f>8325.4-5933.15-600</f>
        <v>1792.25</v>
      </c>
      <c r="U19" s="45">
        <f>2121.87-746.6+200</f>
        <v>1575.27</v>
      </c>
      <c r="V19" s="79">
        <f>2240.06-786.99+170.03</f>
        <v>1623.1</v>
      </c>
      <c r="W19" s="54">
        <f t="shared" si="2"/>
        <v>18040.66</v>
      </c>
      <c r="X19" s="87">
        <f t="shared" si="3"/>
        <v>120577.19000000002</v>
      </c>
    </row>
    <row r="20" spans="1:24" ht="13.5" customHeight="1" thickBot="1">
      <c r="A20" s="31" t="s">
        <v>52</v>
      </c>
      <c r="B20" s="27" t="s">
        <v>3</v>
      </c>
      <c r="C20" s="67">
        <v>674.006</v>
      </c>
      <c r="D20" s="67">
        <v>1748.66</v>
      </c>
      <c r="E20" s="47">
        <v>977.07</v>
      </c>
      <c r="F20" s="47">
        <v>990.46</v>
      </c>
      <c r="G20" s="47">
        <v>2380.31</v>
      </c>
      <c r="H20" s="67">
        <v>792.84</v>
      </c>
      <c r="I20" s="47">
        <v>1154.06</v>
      </c>
      <c r="J20" s="47">
        <v>792.85</v>
      </c>
      <c r="K20" s="48">
        <v>66.07</v>
      </c>
      <c r="L20" s="48">
        <v>66.07</v>
      </c>
      <c r="M20" s="49">
        <v>66.07</v>
      </c>
      <c r="N20" s="49">
        <f>66.07</f>
        <v>66.07</v>
      </c>
      <c r="O20" s="49">
        <v>66.07</v>
      </c>
      <c r="P20" s="49">
        <f>66.07</f>
        <v>66.07</v>
      </c>
      <c r="Q20" s="49">
        <v>66.07</v>
      </c>
      <c r="R20" s="49">
        <v>66.07</v>
      </c>
      <c r="S20" s="49">
        <f>66.07</f>
        <v>66.07</v>
      </c>
      <c r="T20" s="49">
        <v>66.07</v>
      </c>
      <c r="U20" s="50">
        <v>44.26</v>
      </c>
      <c r="V20" s="84">
        <v>87.89</v>
      </c>
      <c r="W20" s="83">
        <f t="shared" si="2"/>
        <v>792.8499999999998</v>
      </c>
      <c r="X20" s="89">
        <f>SUM(C20:V20)</f>
        <v>10303.105999999996</v>
      </c>
    </row>
    <row r="21" spans="1:24" ht="13.5" customHeight="1" thickBot="1">
      <c r="A21" s="31"/>
      <c r="B21" s="36" t="s">
        <v>55</v>
      </c>
      <c r="C21" s="75"/>
      <c r="D21" s="75"/>
      <c r="E21" s="76"/>
      <c r="F21" s="76"/>
      <c r="G21" s="82">
        <f>G9*5%</f>
        <v>1410.9120000000003</v>
      </c>
      <c r="H21" s="92">
        <f>H9*5%</f>
        <v>1410.9120000000003</v>
      </c>
      <c r="I21" s="82">
        <f>I9*5%</f>
        <v>1410.9120000000003</v>
      </c>
      <c r="J21" s="82">
        <f>J9*5%</f>
        <v>1410.9120000000003</v>
      </c>
      <c r="K21" s="80">
        <f>K9*5%</f>
        <v>117.57600000000001</v>
      </c>
      <c r="L21" s="82">
        <f aca="true" t="shared" si="4" ref="L21:V21">L9*5%</f>
        <v>117.57600000000001</v>
      </c>
      <c r="M21" s="80">
        <f t="shared" si="4"/>
        <v>117.57600000000001</v>
      </c>
      <c r="N21" s="82">
        <f t="shared" si="4"/>
        <v>117.57600000000001</v>
      </c>
      <c r="O21" s="80">
        <f t="shared" si="4"/>
        <v>117.57600000000001</v>
      </c>
      <c r="P21" s="82">
        <f t="shared" si="4"/>
        <v>117.57600000000001</v>
      </c>
      <c r="Q21" s="80">
        <f t="shared" si="4"/>
        <v>117.57600000000001</v>
      </c>
      <c r="R21" s="82">
        <f t="shared" si="4"/>
        <v>117.57600000000001</v>
      </c>
      <c r="S21" s="80">
        <f t="shared" si="4"/>
        <v>117.57600000000001</v>
      </c>
      <c r="T21" s="82">
        <f t="shared" si="4"/>
        <v>117.57600000000001</v>
      </c>
      <c r="U21" s="80">
        <f t="shared" si="4"/>
        <v>117.57600000000001</v>
      </c>
      <c r="V21" s="82">
        <f t="shared" si="4"/>
        <v>117.57600000000001</v>
      </c>
      <c r="W21" s="77">
        <f t="shared" si="2"/>
        <v>1410.912</v>
      </c>
      <c r="X21" s="87"/>
    </row>
    <row r="22" spans="1:24" ht="13.5" customHeight="1" thickBot="1">
      <c r="A22" s="105" t="s">
        <v>39</v>
      </c>
      <c r="B22" s="58" t="s">
        <v>49</v>
      </c>
      <c r="C22" s="68"/>
      <c r="D22" s="68"/>
      <c r="E22" s="59"/>
      <c r="F22" s="59"/>
      <c r="G22" s="90"/>
      <c r="H22" s="93"/>
      <c r="I22" s="90"/>
      <c r="J22" s="82">
        <f aca="true" t="shared" si="5" ref="J22:V22">SUM(J9-J10)-J21</f>
        <v>1020.4080000000031</v>
      </c>
      <c r="K22" s="81">
        <f t="shared" si="5"/>
        <v>-7.756000000000299</v>
      </c>
      <c r="L22" s="82">
        <f t="shared" si="5"/>
        <v>95.97400000000017</v>
      </c>
      <c r="M22" s="81">
        <f t="shared" si="5"/>
        <v>-70.06600000000024</v>
      </c>
      <c r="N22" s="82">
        <f t="shared" si="5"/>
        <v>107.84400000000007</v>
      </c>
      <c r="O22" s="81">
        <f t="shared" si="5"/>
        <v>-337.116</v>
      </c>
      <c r="P22" s="82">
        <f t="shared" si="5"/>
        <v>-54.95600000000012</v>
      </c>
      <c r="Q22" s="81">
        <f t="shared" si="5"/>
        <v>66.20399999999974</v>
      </c>
      <c r="R22" s="82">
        <f t="shared" si="5"/>
        <v>33.0540000000001</v>
      </c>
      <c r="S22" s="81">
        <f t="shared" si="5"/>
        <v>-51.86599999999997</v>
      </c>
      <c r="T22" s="82">
        <f t="shared" si="5"/>
        <v>-4821.455999999999</v>
      </c>
      <c r="U22" s="81">
        <f t="shared" si="5"/>
        <v>-87.92600000000037</v>
      </c>
      <c r="V22" s="82">
        <f t="shared" si="5"/>
        <v>-176.14599999999973</v>
      </c>
      <c r="W22" s="78">
        <f t="shared" si="2"/>
        <v>-5304.2119999999995</v>
      </c>
      <c r="X22" s="89"/>
    </row>
    <row r="23" spans="1:24" ht="32.25" customHeight="1" thickBot="1">
      <c r="A23" s="111" t="s">
        <v>40</v>
      </c>
      <c r="B23" s="112" t="s">
        <v>23</v>
      </c>
      <c r="C23" s="113">
        <v>4262.6</v>
      </c>
      <c r="D23" s="96">
        <f>SUM(D9-D10)</f>
        <v>4529.2199999999975</v>
      </c>
      <c r="E23" s="97">
        <f>SUM(E9-E10)</f>
        <v>4480.16</v>
      </c>
      <c r="F23" s="97">
        <f>SUM(F9-F10)</f>
        <v>-3067.2000000000007</v>
      </c>
      <c r="G23" s="101">
        <f>SUM(G9-G10)-G21</f>
        <v>450.76800000000003</v>
      </c>
      <c r="H23" s="114">
        <f>SUM(H9-H10)-H21</f>
        <v>563.7380000000012</v>
      </c>
      <c r="I23" s="101">
        <f>SUM(I9-I10)-I21</f>
        <v>1376.4679999999971</v>
      </c>
      <c r="J23" s="101">
        <f>SUM(J9-J10)-J21</f>
        <v>1020.4080000000031</v>
      </c>
      <c r="K23" s="95">
        <f>SUM(K9-K10)-K21</f>
        <v>-7.756000000000299</v>
      </c>
      <c r="L23" s="101">
        <f>SUM(L22+K23)</f>
        <v>88.21799999999988</v>
      </c>
      <c r="M23" s="95">
        <f aca="true" t="shared" si="6" ref="M23:V23">SUM(M22+L23)</f>
        <v>18.15199999999963</v>
      </c>
      <c r="N23" s="101">
        <f t="shared" si="6"/>
        <v>125.9959999999997</v>
      </c>
      <c r="O23" s="95">
        <f t="shared" si="6"/>
        <v>-211.1200000000003</v>
      </c>
      <c r="P23" s="101">
        <f t="shared" si="6"/>
        <v>-266.0760000000004</v>
      </c>
      <c r="Q23" s="95">
        <f t="shared" si="6"/>
        <v>-199.8720000000007</v>
      </c>
      <c r="R23" s="101">
        <f t="shared" si="6"/>
        <v>-166.8180000000006</v>
      </c>
      <c r="S23" s="95">
        <f t="shared" si="6"/>
        <v>-218.6840000000006</v>
      </c>
      <c r="T23" s="101">
        <f t="shared" si="6"/>
        <v>-5040.139999999999</v>
      </c>
      <c r="U23" s="95">
        <f t="shared" si="6"/>
        <v>-5128.066</v>
      </c>
      <c r="V23" s="101">
        <f t="shared" si="6"/>
        <v>-5304.2119999999995</v>
      </c>
      <c r="W23" s="97"/>
      <c r="X23" s="115"/>
    </row>
    <row r="24" spans="1:24" ht="26.25" customHeight="1" hidden="1" thickBot="1">
      <c r="A24" s="106" t="s">
        <v>41</v>
      </c>
      <c r="B24" s="37" t="s">
        <v>24</v>
      </c>
      <c r="C24" s="37">
        <v>4262.6</v>
      </c>
      <c r="D24" s="72">
        <f>SUM(D9-D10,C24)</f>
        <v>8791.819999999998</v>
      </c>
      <c r="E24" s="55">
        <f>SUM(E9-E10,D24)</f>
        <v>13271.979999999998</v>
      </c>
      <c r="F24" s="55">
        <f>SUM(F9-F10,E24)</f>
        <v>10204.779999999997</v>
      </c>
      <c r="G24" s="107">
        <f>SUM(G23+F24)</f>
        <v>10655.547999999997</v>
      </c>
      <c r="H24" s="108">
        <f>SUM(H23+G24)</f>
        <v>11219.285999999998</v>
      </c>
      <c r="I24" s="107">
        <f>SUM(I23+H24)</f>
        <v>12595.753999999995</v>
      </c>
      <c r="J24" s="107">
        <f>SUM(J23+I24)</f>
        <v>13616.161999999998</v>
      </c>
      <c r="K24" s="107">
        <f>SUM(K23+J24)</f>
        <v>13608.405999999999</v>
      </c>
      <c r="L24" s="107">
        <f>SUM(L22+K24)</f>
        <v>13704.38</v>
      </c>
      <c r="M24" s="109">
        <f aca="true" t="shared" si="7" ref="M24:U24">SUM(M22+L24)</f>
        <v>13634.313999999998</v>
      </c>
      <c r="N24" s="107">
        <f t="shared" si="7"/>
        <v>13742.158</v>
      </c>
      <c r="O24" s="109">
        <f>SUM(O22+N24)-0.08</f>
        <v>13404.962</v>
      </c>
      <c r="P24" s="107">
        <f t="shared" si="7"/>
        <v>13350.006</v>
      </c>
      <c r="Q24" s="109">
        <f t="shared" si="7"/>
        <v>13416.21</v>
      </c>
      <c r="R24" s="107">
        <f t="shared" si="7"/>
        <v>13449.264</v>
      </c>
      <c r="S24" s="109">
        <f t="shared" si="7"/>
        <v>13397.398</v>
      </c>
      <c r="T24" s="107">
        <f t="shared" si="7"/>
        <v>8575.942</v>
      </c>
      <c r="U24" s="109">
        <f t="shared" si="7"/>
        <v>8488.016</v>
      </c>
      <c r="V24" s="107">
        <f>SUM(V22+U24)</f>
        <v>8311.869999999999</v>
      </c>
      <c r="W24" s="55"/>
      <c r="X24" s="110"/>
    </row>
    <row r="25" spans="1:24" ht="23.25" hidden="1" thickBot="1">
      <c r="A25" s="31" t="s">
        <v>41</v>
      </c>
      <c r="B25" s="35" t="s">
        <v>7</v>
      </c>
      <c r="C25" s="37"/>
      <c r="D25" s="60"/>
      <c r="E25" s="60"/>
      <c r="F25" s="60"/>
      <c r="G25" s="60"/>
      <c r="H25" s="60"/>
      <c r="I25" s="60"/>
      <c r="J25" s="60"/>
      <c r="K25" s="10"/>
      <c r="L25" s="9"/>
      <c r="M25" s="10"/>
      <c r="N25" s="10"/>
      <c r="O25" s="10"/>
      <c r="P25" s="10"/>
      <c r="Q25" s="10"/>
      <c r="R25" s="10"/>
      <c r="S25" s="10"/>
      <c r="T25" s="10"/>
      <c r="U25" s="10"/>
      <c r="V25" s="15"/>
      <c r="W25" s="55"/>
      <c r="X25" s="51"/>
    </row>
    <row r="26" spans="1:24" ht="15" customHeight="1" hidden="1" thickBot="1">
      <c r="A26" s="31" t="s">
        <v>42</v>
      </c>
      <c r="B26" s="28" t="s">
        <v>25</v>
      </c>
      <c r="C26" s="37"/>
      <c r="D26" s="60"/>
      <c r="E26" s="60"/>
      <c r="F26" s="60"/>
      <c r="G26" s="60"/>
      <c r="H26" s="60"/>
      <c r="I26" s="60"/>
      <c r="J26" s="60"/>
      <c r="K26" s="12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6"/>
      <c r="W26" s="55"/>
      <c r="X26" s="51"/>
    </row>
    <row r="27" spans="1:24" ht="0.75" customHeight="1" hidden="1" thickBot="1">
      <c r="A27" s="32" t="s">
        <v>43</v>
      </c>
      <c r="B27" s="29" t="s">
        <v>47</v>
      </c>
      <c r="C27" s="64"/>
      <c r="D27" s="64"/>
      <c r="E27" s="61"/>
      <c r="F27" s="61"/>
      <c r="G27" s="61"/>
      <c r="H27" s="61"/>
      <c r="I27" s="61"/>
      <c r="J27" s="6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>
        <f>SUM(V23-V25)</f>
        <v>-5304.2119999999995</v>
      </c>
      <c r="W27" s="56"/>
      <c r="X27" s="52"/>
    </row>
    <row r="28" spans="1:24" ht="24" customHeight="1" hidden="1" thickBot="1">
      <c r="A28" s="32" t="s">
        <v>46</v>
      </c>
      <c r="B28" s="29" t="s">
        <v>26</v>
      </c>
      <c r="C28" s="38"/>
      <c r="D28" s="61"/>
      <c r="E28" s="17"/>
      <c r="F28" s="17"/>
      <c r="G28" s="17"/>
      <c r="H28" s="17"/>
      <c r="I28" s="17"/>
      <c r="J28" s="17"/>
      <c r="K28" s="63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>
        <f>SUM(V24-V25)</f>
        <v>8311.869999999999</v>
      </c>
      <c r="W28" s="56"/>
      <c r="X28" s="52"/>
    </row>
    <row r="29" spans="2:24" ht="0.75" customHeight="1"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</row>
    <row r="31" ht="12.75" hidden="1"/>
    <row r="32" ht="12.75" hidden="1"/>
    <row r="33" ht="12.75" hidden="1"/>
    <row r="34" ht="12.75">
      <c r="B34" t="s">
        <v>62</v>
      </c>
    </row>
    <row r="38" ht="12.75" customHeight="1"/>
    <row r="39" ht="12.75" customHeight="1"/>
  </sheetData>
  <sheetProtection/>
  <mergeCells count="5">
    <mergeCell ref="B5:X5"/>
    <mergeCell ref="B6:X6"/>
    <mergeCell ref="B4:X4"/>
    <mergeCell ref="B1:M1"/>
    <mergeCell ref="B2:V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2019-02-08T13:03:16Z</cp:lastPrinted>
  <dcterms:created xsi:type="dcterms:W3CDTF">2011-06-16T11:06:26Z</dcterms:created>
  <dcterms:modified xsi:type="dcterms:W3CDTF">2019-02-12T11:43:10Z</dcterms:modified>
  <cp:category/>
  <cp:version/>
  <cp:contentType/>
  <cp:contentStatus/>
</cp:coreProperties>
</file>