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<sst xmlns="http://schemas.openxmlformats.org/spreadsheetml/2006/main" count="77" uniqueCount="76">
  <si>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</si>
  <si>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</si>
  <si>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</si>
  <si>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</si>
  <si>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</si>
  <si>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</si>
  <si>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</si>
  <si>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</si>
  <si>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</si>
  <si>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</si>
  <si>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</si>
  <si>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</si>
  <si>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</si>
  <si>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</si>
  <si>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</si>
  <si>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</si>
  <si>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</si>
  <si>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</si>
  <si>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</si>
  <si>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</si>
  <si>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</si>
  <si>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</si>
  <si>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</si>
  <si>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</si>
  <si>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</si>
  <si>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</si>
  <si>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</si>
  <si>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</si>
  <si>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</si>
  <si>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</si>
  <si>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</si>
  <si>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</si>
  <si>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</si>
  <si>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</si>
  <si>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</si>
  <si>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</si>
  <si>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</si>
  <si>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</si>
  <si>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</si>
  <si>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</si>
  <si>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</si>
  <si>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</si>
  <si>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</si>
  <si>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</si>
  <si>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</si>
  <si>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</si>
  <si>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</si>
  <si>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</si>
  <si>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23 Сентября д.2</t>
  </si>
  <si>
    <t>Итого за 2011 г</t>
  </si>
  <si>
    <t>Результат за месяц</t>
  </si>
  <si>
    <t>Дом по ул.23 Сентября д.2 вступил в ООО "Наш дом" с февраля 2010 года            тариф 9,2 руб</t>
  </si>
  <si>
    <t>Благоустройство территории</t>
  </si>
  <si>
    <t>Итого за 2012 г</t>
  </si>
  <si>
    <t>4.12</t>
  </si>
  <si>
    <t>4.13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</si>
  <si>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</si>
  <si>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</si>
  <si>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</si>
  <si>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</si>
  <si>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</si>
  <si>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Проверка вент.каналов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</si>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</sst>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5" fillId="0" borderId="27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6" xfId="0" applyFont="1" applyBorder="1" applyAlignment="1">
      <alignment wrapText="1"/>
    </xf>
    <xf numFmtId="0" fontId="27" fillId="0" borderId="47" xfId="0" applyFont="1" applyBorder="1" applyAlignment="1">
      <alignment/>
    </xf>
    <xf numFmtId="0" fontId="27" fillId="0" borderId="46" xfId="0" applyFont="1" applyBorder="1" applyAlignment="1">
      <alignment/>
    </xf>
    <xf numFmtId="2" fontId="27" fillId="0" borderId="46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9">
      <selection activeCell="V24" sqref="V24"/>
    </sheetView>
  </sheetViews>
  <sheetFormatPr defaultColWidth="9.00390625" defaultRowHeight="12.75"/>
  <cols>
    <col min="1" max="1" width="3.875" style="26" customWidth="1"/>
    <col min="2" max="2" width="19.75390625" style="0" customWidth="1"/>
    <col min="3" max="3" width="7.875" style="0" hidden="1" customWidth="1"/>
    <col min="4" max="4" width="8.125" style="0" hidden="1" customWidth="1"/>
    <col min="5" max="5" width="10.25390625" style="0" hidden="1" customWidth="1"/>
    <col min="6" max="6" width="9.625" style="0" hidden="1" customWidth="1"/>
    <col min="7" max="7" width="9.00390625" style="0" hidden="1" customWidth="1"/>
    <col min="8" max="8" width="8.875" style="0" hidden="1" customWidth="1"/>
    <col min="9" max="10" width="9.625" style="0" hidden="1" customWidth="1"/>
    <col min="11" max="11" width="8.75390625" style="0" customWidth="1"/>
    <col min="12" max="12" width="8.375" style="0" customWidth="1"/>
    <col min="13" max="13" width="8.625" style="0" customWidth="1"/>
    <col min="14" max="14" width="7.875" style="0" customWidth="1"/>
    <col min="15" max="16" width="8.25390625" style="0" customWidth="1"/>
    <col min="17" max="17" width="8.75390625" style="0" customWidth="1"/>
    <col min="18" max="18" width="8.625" style="0" customWidth="1"/>
    <col min="19" max="19" width="8.75390625" style="0" customWidth="1"/>
    <col min="20" max="20" width="8.625" style="0" customWidth="1"/>
    <col min="21" max="21" width="9.00390625" style="0" customWidth="1"/>
    <col min="22" max="22" width="8.375" style="0" customWidth="1"/>
    <col min="23" max="23" width="8.75390625" style="0" customWidth="1"/>
    <col min="24" max="24" width="10.25390625" style="0" customWidth="1"/>
  </cols>
  <sheetData>
    <row r="1" spans="2:29" ht="12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3" t="s">
        <v>51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5" customHeight="1">
      <c r="B4" s="91" t="s">
        <v>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6.5" customHeight="1" thickBot="1">
      <c r="B5" s="91" t="s">
        <v>48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1:29" ht="33.75" customHeight="1" thickBot="1">
      <c r="A6" s="35" t="s">
        <v>27</v>
      </c>
      <c r="B6" s="27" t="s">
        <v>6</v>
      </c>
      <c r="C6" s="38" t="s">
        <v>45</v>
      </c>
      <c r="D6" s="50" t="s">
        <v>49</v>
      </c>
      <c r="E6" s="50" t="s">
        <v>53</v>
      </c>
      <c r="F6" s="50" t="s">
        <v>56</v>
      </c>
      <c r="G6" s="50" t="s">
        <v>57</v>
      </c>
      <c r="H6" s="50" t="s">
        <v>60</v>
      </c>
      <c r="I6" s="50" t="s">
        <v>67</v>
      </c>
      <c r="J6" s="50" t="s">
        <v>68</v>
      </c>
      <c r="K6" s="6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22</v>
      </c>
      <c r="V6" s="15" t="s">
        <v>21</v>
      </c>
      <c r="W6" s="50" t="s">
        <v>74</v>
      </c>
      <c r="X6" s="45" t="s">
        <v>75</v>
      </c>
      <c r="Y6" s="1"/>
      <c r="Z6" s="1"/>
      <c r="AA6" s="1"/>
      <c r="AB6" s="1"/>
      <c r="AC6" s="1"/>
    </row>
    <row r="7" spans="1:24" ht="13.5" thickBot="1">
      <c r="A7" s="36" t="s">
        <v>28</v>
      </c>
      <c r="B7" s="28" t="s">
        <v>1</v>
      </c>
      <c r="C7" s="60">
        <v>129699.76</v>
      </c>
      <c r="D7" s="63">
        <v>141435.28</v>
      </c>
      <c r="E7" s="60">
        <v>140995.52</v>
      </c>
      <c r="F7" s="60">
        <v>140585.2</v>
      </c>
      <c r="G7" s="74">
        <v>140528.16</v>
      </c>
      <c r="H7" s="60">
        <v>140501.48</v>
      </c>
      <c r="I7" s="60">
        <v>140461.92</v>
      </c>
      <c r="J7" s="60">
        <v>140351.52</v>
      </c>
      <c r="K7" s="7">
        <v>11695.96</v>
      </c>
      <c r="L7" s="8">
        <v>11696.88</v>
      </c>
      <c r="M7" s="8">
        <v>11696.88</v>
      </c>
      <c r="N7" s="8">
        <v>11696.88</v>
      </c>
      <c r="O7" s="8">
        <v>11683.08</v>
      </c>
      <c r="P7" s="8">
        <v>11683.08</v>
      </c>
      <c r="Q7" s="8">
        <v>11683.08</v>
      </c>
      <c r="R7" s="8">
        <v>11683.08</v>
      </c>
      <c r="S7" s="8">
        <v>11683.08</v>
      </c>
      <c r="T7" s="8">
        <v>11683.08</v>
      </c>
      <c r="U7" s="8">
        <v>11683.08</v>
      </c>
      <c r="V7" s="8">
        <v>11683.08</v>
      </c>
      <c r="W7" s="51">
        <f>SUM(K7:V7)</f>
        <v>140251.24</v>
      </c>
      <c r="X7" s="56">
        <f>SUM(C7:V7)</f>
        <v>1254810.0800000003</v>
      </c>
    </row>
    <row r="8" spans="1:24" ht="13.5" thickBot="1">
      <c r="A8" s="36"/>
      <c r="B8" s="28" t="s">
        <v>69</v>
      </c>
      <c r="C8" s="74"/>
      <c r="D8" s="63"/>
      <c r="E8" s="74"/>
      <c r="F8" s="74"/>
      <c r="G8" s="74"/>
      <c r="H8" s="74"/>
      <c r="I8" s="74"/>
      <c r="J8" s="74">
        <v>13075.96</v>
      </c>
      <c r="K8" s="7">
        <f>1295.4+61.17+54.02</f>
        <v>1410.5900000000001</v>
      </c>
      <c r="L8" s="8">
        <f>1295.39+61.18+54.02</f>
        <v>1410.5900000000001</v>
      </c>
      <c r="M8" s="8">
        <f>1295.39+61.18+54.02</f>
        <v>1410.5900000000001</v>
      </c>
      <c r="N8" s="8">
        <f>1295.39+61.18+54.02</f>
        <v>1410.5900000000001</v>
      </c>
      <c r="O8" s="8">
        <f>1295.35+61.15+54.03</f>
        <v>1410.53</v>
      </c>
      <c r="P8" s="8">
        <f>1295.35+61.15+54.03</f>
        <v>1410.53</v>
      </c>
      <c r="Q8" s="8">
        <f>1359.57+61.55+54.47</f>
        <v>1475.59</v>
      </c>
      <c r="R8" s="8">
        <f>61.55+54.47</f>
        <v>116.02</v>
      </c>
      <c r="S8" s="8">
        <f>61.55+54.47</f>
        <v>116.02</v>
      </c>
      <c r="T8" s="8">
        <f>61.55+54.47</f>
        <v>116.02</v>
      </c>
      <c r="U8" s="8">
        <f>61.55+54.47</f>
        <v>116.02</v>
      </c>
      <c r="V8" s="8">
        <f>61.55+54.47</f>
        <v>116.02</v>
      </c>
      <c r="W8" s="51">
        <f>SUM(K8:V8)</f>
        <v>10519.110000000002</v>
      </c>
      <c r="X8" s="56">
        <f>SUM(C8:V8)</f>
        <v>23595.07</v>
      </c>
    </row>
    <row r="9" spans="1:24" s="82" customFormat="1" ht="13.5" thickBot="1">
      <c r="A9" s="76" t="s">
        <v>29</v>
      </c>
      <c r="B9" s="77" t="s">
        <v>2</v>
      </c>
      <c r="C9" s="78">
        <f aca="true" t="shared" si="0" ref="C9:K9">SUM(C10:C24)</f>
        <v>113512.73000000001</v>
      </c>
      <c r="D9" s="79">
        <f t="shared" si="0"/>
        <v>138773.6</v>
      </c>
      <c r="E9" s="78">
        <f t="shared" si="0"/>
        <v>126417.02000000002</v>
      </c>
      <c r="F9" s="78">
        <f t="shared" si="0"/>
        <v>170448.74</v>
      </c>
      <c r="G9" s="78">
        <f t="shared" si="0"/>
        <v>132052.89</v>
      </c>
      <c r="H9" s="78">
        <f>SUM(H10:H24)</f>
        <v>144842.13999999998</v>
      </c>
      <c r="I9" s="78">
        <f>SUM(I10:I24)</f>
        <v>143431.97999999998</v>
      </c>
      <c r="J9" s="78">
        <f>SUM(J10:J24)</f>
        <v>144650.27</v>
      </c>
      <c r="K9" s="80">
        <f t="shared" si="0"/>
        <v>16137.510000000002</v>
      </c>
      <c r="L9" s="80">
        <f aca="true" t="shared" si="1" ref="L9:V9">SUM(L10:L24)</f>
        <v>15928.72</v>
      </c>
      <c r="M9" s="80">
        <f t="shared" si="1"/>
        <v>11716.620000000003</v>
      </c>
      <c r="N9" s="80">
        <f t="shared" si="1"/>
        <v>12986.95</v>
      </c>
      <c r="O9" s="80">
        <f t="shared" si="1"/>
        <v>12725.27</v>
      </c>
      <c r="P9" s="80">
        <f t="shared" si="1"/>
        <v>13353.890000000001</v>
      </c>
      <c r="Q9" s="80">
        <f t="shared" si="1"/>
        <v>13344.38</v>
      </c>
      <c r="R9" s="80">
        <f t="shared" si="1"/>
        <v>22501.31</v>
      </c>
      <c r="S9" s="80">
        <f t="shared" si="1"/>
        <v>10528.929999999998</v>
      </c>
      <c r="T9" s="80">
        <f t="shared" si="1"/>
        <v>9974.36</v>
      </c>
      <c r="U9" s="80">
        <f t="shared" si="1"/>
        <v>11633.02</v>
      </c>
      <c r="V9" s="79">
        <f t="shared" si="1"/>
        <v>12192.27</v>
      </c>
      <c r="W9" s="78">
        <f>SUM(K9:V9)</f>
        <v>163023.22999999998</v>
      </c>
      <c r="X9" s="81">
        <f>SUM(C9:V9)</f>
        <v>1277152.6</v>
      </c>
    </row>
    <row r="10" spans="1:24" ht="14.25" customHeight="1" thickBot="1">
      <c r="A10" s="36" t="s">
        <v>30</v>
      </c>
      <c r="B10" s="30" t="s">
        <v>4</v>
      </c>
      <c r="C10" s="42">
        <v>24278.34</v>
      </c>
      <c r="D10" s="64">
        <v>28559.57</v>
      </c>
      <c r="E10" s="42">
        <v>29175.81</v>
      </c>
      <c r="F10" s="42">
        <v>35287.13</v>
      </c>
      <c r="G10" s="42">
        <v>33075.22</v>
      </c>
      <c r="H10" s="42">
        <v>34933.28</v>
      </c>
      <c r="I10" s="42">
        <v>35967.38</v>
      </c>
      <c r="J10" s="42">
        <v>33198.95</v>
      </c>
      <c r="K10" s="7">
        <f>2650+104.71</f>
        <v>2754.71</v>
      </c>
      <c r="L10" s="8">
        <f>2650+137.84</f>
        <v>2787.84</v>
      </c>
      <c r="M10" s="8">
        <f>2650+80.09</f>
        <v>2730.09</v>
      </c>
      <c r="N10" s="8">
        <f>2650+225.61</f>
        <v>2875.61</v>
      </c>
      <c r="O10" s="8">
        <f>2650+210.8</f>
        <v>2860.8</v>
      </c>
      <c r="P10" s="8">
        <f>2650+216.51</f>
        <v>2866.51</v>
      </c>
      <c r="Q10" s="8">
        <f>2544+177.91</f>
        <v>2721.91</v>
      </c>
      <c r="R10" s="8">
        <f>2597+229.26</f>
        <v>2826.26</v>
      </c>
      <c r="S10" s="8">
        <f>2342.6+170.41</f>
        <v>2513.0099999999998</v>
      </c>
      <c r="T10" s="8">
        <f>2385+138.27</f>
        <v>2523.27</v>
      </c>
      <c r="U10" s="8">
        <f>2427.4+160.52</f>
        <v>2587.92</v>
      </c>
      <c r="V10" s="16">
        <f>2422.1+147.54</f>
        <v>2569.64</v>
      </c>
      <c r="W10" s="53">
        <f aca="true" t="shared" si="2" ref="W10:W26">SUM(K10:V10)</f>
        <v>32617.569999999992</v>
      </c>
      <c r="X10" s="55">
        <f aca="true" t="shared" si="3" ref="X10:X23">SUM(C10:V10)</f>
        <v>287093.25</v>
      </c>
    </row>
    <row r="11" spans="1:24" ht="15" customHeight="1" thickBot="1">
      <c r="A11" s="36" t="s">
        <v>31</v>
      </c>
      <c r="B11" s="31" t="s">
        <v>62</v>
      </c>
      <c r="C11" s="43">
        <v>28823.19</v>
      </c>
      <c r="D11" s="65">
        <v>13003.85</v>
      </c>
      <c r="E11" s="43">
        <v>2938.32</v>
      </c>
      <c r="F11" s="43">
        <v>5817.97</v>
      </c>
      <c r="G11" s="43">
        <v>5285.53</v>
      </c>
      <c r="H11" s="43">
        <v>2532.74</v>
      </c>
      <c r="I11" s="43">
        <v>3000</v>
      </c>
      <c r="J11" s="43">
        <v>1722.28</v>
      </c>
      <c r="K11" s="9">
        <v>400</v>
      </c>
      <c r="L11" s="10"/>
      <c r="M11" s="10"/>
      <c r="N11" s="10"/>
      <c r="O11" s="10">
        <v>537</v>
      </c>
      <c r="P11" s="10"/>
      <c r="Q11" s="10">
        <v>254.2</v>
      </c>
      <c r="R11" s="10">
        <v>206.4</v>
      </c>
      <c r="S11" s="10"/>
      <c r="T11" s="10"/>
      <c r="U11" s="10"/>
      <c r="V11" s="17">
        <v>238</v>
      </c>
      <c r="W11" s="53">
        <f>SUM(K11:V11)</f>
        <v>1635.6000000000001</v>
      </c>
      <c r="X11" s="55">
        <f t="shared" si="3"/>
        <v>64759.479999999996</v>
      </c>
    </row>
    <row r="12" spans="1:24" ht="25.5" customHeight="1" thickBot="1">
      <c r="A12" s="36" t="s">
        <v>32</v>
      </c>
      <c r="B12" s="29" t="s">
        <v>5</v>
      </c>
      <c r="C12" s="43">
        <v>3370.36</v>
      </c>
      <c r="D12" s="65">
        <v>0</v>
      </c>
      <c r="E12" s="43">
        <v>0</v>
      </c>
      <c r="F12" s="43">
        <v>6708.3</v>
      </c>
      <c r="G12" s="43"/>
      <c r="H12" s="43">
        <v>0</v>
      </c>
      <c r="I12" s="43">
        <v>7937</v>
      </c>
      <c r="J12" s="43">
        <v>0</v>
      </c>
      <c r="K12" s="9"/>
      <c r="L12" s="10"/>
      <c r="M12" s="10"/>
      <c r="N12" s="10"/>
      <c r="O12" s="10"/>
      <c r="P12" s="10"/>
      <c r="Q12" s="10"/>
      <c r="R12" s="10">
        <v>9418.9</v>
      </c>
      <c r="S12" s="10"/>
      <c r="T12" s="10"/>
      <c r="U12" s="10"/>
      <c r="V12" s="17"/>
      <c r="W12" s="53">
        <f t="shared" si="2"/>
        <v>9418.9</v>
      </c>
      <c r="X12" s="55">
        <f t="shared" si="3"/>
        <v>27434.559999999998</v>
      </c>
    </row>
    <row r="13" spans="1:24" ht="12.75" customHeight="1" thickBot="1">
      <c r="A13" s="36"/>
      <c r="B13" s="29" t="s">
        <v>61</v>
      </c>
      <c r="C13" s="43"/>
      <c r="D13" s="65"/>
      <c r="E13" s="43"/>
      <c r="F13" s="43"/>
      <c r="G13" s="43"/>
      <c r="H13" s="43">
        <v>1800</v>
      </c>
      <c r="I13" s="43">
        <v>0</v>
      </c>
      <c r="J13" s="43">
        <v>2000</v>
      </c>
      <c r="K13" s="9"/>
      <c r="L13" s="10"/>
      <c r="M13" s="10"/>
      <c r="N13" s="10"/>
      <c r="O13" s="10"/>
      <c r="P13" s="10"/>
      <c r="Q13" s="10"/>
      <c r="R13" s="10">
        <v>1600</v>
      </c>
      <c r="S13" s="10"/>
      <c r="T13" s="10"/>
      <c r="U13" s="10"/>
      <c r="V13" s="17"/>
      <c r="W13" s="53">
        <f>SUM(K13:V13)</f>
        <v>1600</v>
      </c>
      <c r="X13" s="55">
        <f>SUM(C13:V13)</f>
        <v>5400</v>
      </c>
    </row>
    <row r="14" spans="1:24" ht="15.75" customHeight="1" thickBot="1">
      <c r="A14" s="36" t="s">
        <v>33</v>
      </c>
      <c r="B14" s="31" t="s">
        <v>59</v>
      </c>
      <c r="C14" s="43">
        <v>8904.65</v>
      </c>
      <c r="D14" s="65">
        <v>11225.44</v>
      </c>
      <c r="E14" s="43">
        <v>313.91</v>
      </c>
      <c r="F14" s="43">
        <v>32056.03</v>
      </c>
      <c r="G14" s="43">
        <v>4200.12</v>
      </c>
      <c r="H14" s="43">
        <v>6349.13</v>
      </c>
      <c r="I14" s="43">
        <v>3660.7</v>
      </c>
      <c r="J14" s="43">
        <v>3243.82</v>
      </c>
      <c r="K14" s="9">
        <v>60</v>
      </c>
      <c r="L14" s="10">
        <v>2084.19</v>
      </c>
      <c r="M14" s="10"/>
      <c r="N14" s="10">
        <v>45</v>
      </c>
      <c r="O14" s="10">
        <v>690.4</v>
      </c>
      <c r="P14" s="10">
        <v>705</v>
      </c>
      <c r="Q14" s="10">
        <v>258.86</v>
      </c>
      <c r="R14" s="10"/>
      <c r="S14" s="10">
        <v>60</v>
      </c>
      <c r="T14" s="10">
        <v>90</v>
      </c>
      <c r="U14" s="10">
        <v>90</v>
      </c>
      <c r="V14" s="17"/>
      <c r="W14" s="53">
        <f t="shared" si="2"/>
        <v>4083.4500000000003</v>
      </c>
      <c r="X14" s="55">
        <f t="shared" si="3"/>
        <v>74037.25</v>
      </c>
    </row>
    <row r="15" spans="1:24" ht="23.25" customHeight="1" thickBot="1">
      <c r="A15" s="36" t="s">
        <v>34</v>
      </c>
      <c r="B15" s="31" t="s">
        <v>52</v>
      </c>
      <c r="C15" s="43">
        <v>0</v>
      </c>
      <c r="D15" s="65">
        <v>0</v>
      </c>
      <c r="E15" s="43">
        <v>256</v>
      </c>
      <c r="F15" s="43">
        <v>0</v>
      </c>
      <c r="G15" s="43">
        <v>26.66</v>
      </c>
      <c r="H15" s="43">
        <v>952.96</v>
      </c>
      <c r="I15" s="43">
        <v>843.85</v>
      </c>
      <c r="J15" s="43">
        <v>1005.06</v>
      </c>
      <c r="K15" s="9">
        <v>10</v>
      </c>
      <c r="L15" s="10">
        <v>78</v>
      </c>
      <c r="M15" s="10"/>
      <c r="N15" s="10"/>
      <c r="O15" s="10"/>
      <c r="P15" s="10"/>
      <c r="Q15" s="10"/>
      <c r="R15" s="10"/>
      <c r="S15" s="10"/>
      <c r="T15" s="10"/>
      <c r="U15" s="10"/>
      <c r="V15" s="17"/>
      <c r="W15" s="53">
        <f>SUM(K15:V15)</f>
        <v>88</v>
      </c>
      <c r="X15" s="55">
        <f>SUM(C15:V15)</f>
        <v>3172.53</v>
      </c>
    </row>
    <row r="16" spans="1:24" ht="12" customHeight="1" thickBot="1">
      <c r="A16" s="36" t="s">
        <v>35</v>
      </c>
      <c r="B16" s="31" t="s">
        <v>70</v>
      </c>
      <c r="C16" s="43">
        <v>3338.11</v>
      </c>
      <c r="D16" s="65">
        <v>9549.19</v>
      </c>
      <c r="E16" s="43">
        <v>7246.08</v>
      </c>
      <c r="F16" s="43">
        <v>0</v>
      </c>
      <c r="G16" s="43"/>
      <c r="H16" s="43">
        <v>0</v>
      </c>
      <c r="I16" s="43">
        <v>0</v>
      </c>
      <c r="J16" s="43">
        <v>12114.99</v>
      </c>
      <c r="K16" s="9">
        <v>1295.4</v>
      </c>
      <c r="L16" s="9">
        <v>1295.39</v>
      </c>
      <c r="M16" s="9">
        <v>1295.39</v>
      </c>
      <c r="N16" s="9">
        <v>1295.39</v>
      </c>
      <c r="O16" s="9">
        <v>1295.39</v>
      </c>
      <c r="P16" s="9">
        <v>1295.39</v>
      </c>
      <c r="Q16" s="10">
        <v>1359.57</v>
      </c>
      <c r="R16" s="10"/>
      <c r="S16" s="10"/>
      <c r="T16" s="10"/>
      <c r="U16" s="10"/>
      <c r="V16" s="10"/>
      <c r="W16" s="53">
        <f t="shared" si="2"/>
        <v>9131.920000000002</v>
      </c>
      <c r="X16" s="55">
        <f t="shared" si="3"/>
        <v>41380.29</v>
      </c>
    </row>
    <row r="17" spans="1:24" ht="12" customHeight="1" thickBot="1">
      <c r="A17" s="36"/>
      <c r="B17" s="31" t="s">
        <v>71</v>
      </c>
      <c r="C17" s="43"/>
      <c r="D17" s="65"/>
      <c r="E17" s="43"/>
      <c r="F17" s="43"/>
      <c r="G17" s="43"/>
      <c r="H17" s="43"/>
      <c r="I17" s="43"/>
      <c r="J17" s="43">
        <v>584.08</v>
      </c>
      <c r="K17" s="9">
        <v>61.18</v>
      </c>
      <c r="L17" s="9">
        <v>61.18</v>
      </c>
      <c r="M17" s="9">
        <v>61.18</v>
      </c>
      <c r="N17" s="9">
        <v>61.18</v>
      </c>
      <c r="O17" s="9">
        <v>61.18</v>
      </c>
      <c r="P17" s="9">
        <v>61.18</v>
      </c>
      <c r="Q17" s="10">
        <v>61.56</v>
      </c>
      <c r="R17" s="10">
        <v>61.56</v>
      </c>
      <c r="S17" s="10">
        <v>61.56</v>
      </c>
      <c r="T17" s="10">
        <v>61.56</v>
      </c>
      <c r="U17" s="10">
        <v>61.56</v>
      </c>
      <c r="V17" s="10">
        <v>61.56</v>
      </c>
      <c r="W17" s="53">
        <f>SUM(K17:V17)</f>
        <v>736.4399999999998</v>
      </c>
      <c r="X17" s="55">
        <f>SUM(C17:V17)</f>
        <v>1320.5199999999995</v>
      </c>
    </row>
    <row r="18" spans="1:24" ht="12" customHeight="1" thickBot="1">
      <c r="A18" s="36"/>
      <c r="B18" s="31" t="s">
        <v>72</v>
      </c>
      <c r="C18" s="43"/>
      <c r="D18" s="65"/>
      <c r="E18" s="43"/>
      <c r="F18" s="43"/>
      <c r="G18" s="43"/>
      <c r="H18" s="43"/>
      <c r="I18" s="43"/>
      <c r="J18" s="43">
        <v>376.92</v>
      </c>
      <c r="K18" s="9">
        <v>54.03</v>
      </c>
      <c r="L18" s="9">
        <v>54.03</v>
      </c>
      <c r="M18" s="9">
        <v>54.03</v>
      </c>
      <c r="N18" s="9">
        <v>54.03</v>
      </c>
      <c r="O18" s="9">
        <v>54.03</v>
      </c>
      <c r="P18" s="9">
        <v>54.03</v>
      </c>
      <c r="Q18" s="10">
        <v>54.49</v>
      </c>
      <c r="R18" s="10">
        <v>54.49</v>
      </c>
      <c r="S18" s="10">
        <v>54.49</v>
      </c>
      <c r="T18" s="10">
        <v>54.49</v>
      </c>
      <c r="U18" s="10">
        <v>54.49</v>
      </c>
      <c r="V18" s="10">
        <v>54.49</v>
      </c>
      <c r="W18" s="53">
        <f>SUM(K18:V18)</f>
        <v>651.12</v>
      </c>
      <c r="X18" s="55">
        <f>SUM(C18:V18)</f>
        <v>1028.04</v>
      </c>
    </row>
    <row r="19" spans="1:24" ht="15" customHeight="1" thickBot="1">
      <c r="A19" s="36" t="s">
        <v>36</v>
      </c>
      <c r="B19" s="31" t="s">
        <v>73</v>
      </c>
      <c r="C19" s="43">
        <v>437.47</v>
      </c>
      <c r="D19" s="65">
        <v>348.07</v>
      </c>
      <c r="E19" s="43">
        <v>281.79</v>
      </c>
      <c r="F19" s="43">
        <v>267.98</v>
      </c>
      <c r="G19" s="43">
        <v>285.87</v>
      </c>
      <c r="H19" s="43">
        <v>350.33</v>
      </c>
      <c r="I19" s="43">
        <v>213.09</v>
      </c>
      <c r="J19" s="43">
        <v>465.99</v>
      </c>
      <c r="K19" s="9"/>
      <c r="L19" s="10"/>
      <c r="M19" s="10">
        <v>125.77</v>
      </c>
      <c r="N19" s="10"/>
      <c r="O19" s="10"/>
      <c r="P19" s="10">
        <v>112.06</v>
      </c>
      <c r="Q19" s="10"/>
      <c r="R19" s="10"/>
      <c r="S19" s="10">
        <v>94.33</v>
      </c>
      <c r="T19" s="10"/>
      <c r="U19" s="10"/>
      <c r="V19" s="17">
        <v>104.12</v>
      </c>
      <c r="W19" s="53">
        <f t="shared" si="2"/>
        <v>436.28</v>
      </c>
      <c r="X19" s="55">
        <f t="shared" si="3"/>
        <v>3086.87</v>
      </c>
    </row>
    <row r="20" spans="1:24" ht="34.5" customHeight="1" thickBot="1">
      <c r="A20" s="36" t="s">
        <v>37</v>
      </c>
      <c r="B20" s="31" t="s">
        <v>63</v>
      </c>
      <c r="C20" s="43">
        <v>1745.66</v>
      </c>
      <c r="D20" s="65">
        <v>6218.34</v>
      </c>
      <c r="E20" s="43">
        <v>7906.75</v>
      </c>
      <c r="F20" s="43">
        <v>7850.82</v>
      </c>
      <c r="G20" s="43">
        <v>5186.89</v>
      </c>
      <c r="H20" s="43">
        <v>6116.15</v>
      </c>
      <c r="I20" s="43">
        <v>6466.09</v>
      </c>
      <c r="J20" s="43">
        <v>6564.12</v>
      </c>
      <c r="K20" s="9">
        <v>572.54</v>
      </c>
      <c r="L20" s="10">
        <v>525.28</v>
      </c>
      <c r="M20" s="10">
        <v>700.52</v>
      </c>
      <c r="N20" s="10">
        <v>546.26</v>
      </c>
      <c r="O20" s="10">
        <v>458.91</v>
      </c>
      <c r="P20" s="10">
        <v>665.13</v>
      </c>
      <c r="Q20" s="10">
        <v>541.04</v>
      </c>
      <c r="R20" s="10">
        <v>553.3</v>
      </c>
      <c r="S20" s="10">
        <v>454.74</v>
      </c>
      <c r="T20" s="10">
        <v>682.61</v>
      </c>
      <c r="U20" s="10">
        <v>603.49</v>
      </c>
      <c r="V20" s="17">
        <v>589.32</v>
      </c>
      <c r="W20" s="53">
        <f t="shared" si="2"/>
        <v>6893.1399999999985</v>
      </c>
      <c r="X20" s="55">
        <f>SUM(C20:V20)</f>
        <v>54947.96</v>
      </c>
    </row>
    <row r="21" spans="1:24" ht="21.75" customHeight="1" thickBot="1">
      <c r="A21" s="36" t="s">
        <v>38</v>
      </c>
      <c r="B21" s="31" t="s">
        <v>64</v>
      </c>
      <c r="C21" s="43">
        <v>3085.82</v>
      </c>
      <c r="D21" s="65">
        <v>3387.57</v>
      </c>
      <c r="E21" s="43">
        <v>1127.78</v>
      </c>
      <c r="F21" s="43">
        <v>717.69</v>
      </c>
      <c r="G21" s="43">
        <v>1560.34</v>
      </c>
      <c r="H21" s="43">
        <v>1054.04</v>
      </c>
      <c r="I21" s="43">
        <v>919.88</v>
      </c>
      <c r="J21" s="43">
        <v>718.01</v>
      </c>
      <c r="K21" s="9">
        <v>56.59</v>
      </c>
      <c r="L21" s="10">
        <v>38</v>
      </c>
      <c r="M21" s="10">
        <v>26.98</v>
      </c>
      <c r="N21" s="10">
        <v>37.91</v>
      </c>
      <c r="O21" s="10">
        <v>35.16</v>
      </c>
      <c r="P21" s="10">
        <v>41.93</v>
      </c>
      <c r="Q21" s="10">
        <v>128.22</v>
      </c>
      <c r="R21" s="10">
        <v>32.83</v>
      </c>
      <c r="S21" s="10">
        <v>40.65</v>
      </c>
      <c r="T21" s="10">
        <v>35.2</v>
      </c>
      <c r="U21" s="10">
        <v>168.31</v>
      </c>
      <c r="V21" s="17">
        <v>53.5</v>
      </c>
      <c r="W21" s="53">
        <f t="shared" si="2"/>
        <v>695.28</v>
      </c>
      <c r="X21" s="55">
        <f t="shared" si="3"/>
        <v>13266.41</v>
      </c>
    </row>
    <row r="22" spans="1:24" ht="36" customHeight="1" thickBot="1">
      <c r="A22" s="36" t="s">
        <v>39</v>
      </c>
      <c r="B22" s="31" t="s">
        <v>65</v>
      </c>
      <c r="C22" s="43">
        <v>1461.33</v>
      </c>
      <c r="D22" s="65">
        <v>5469.08</v>
      </c>
      <c r="E22" s="43">
        <v>5261.62</v>
      </c>
      <c r="F22" s="43">
        <v>7040.59</v>
      </c>
      <c r="G22" s="43">
        <v>6083.43</v>
      </c>
      <c r="H22" s="43">
        <v>7862.56</v>
      </c>
      <c r="I22" s="43">
        <v>6728.46</v>
      </c>
      <c r="J22" s="43">
        <v>7081.61</v>
      </c>
      <c r="K22" s="9">
        <f>28.32+202.55+312.91</f>
        <v>543.78</v>
      </c>
      <c r="L22" s="10">
        <f>297.11+31.04+274.04</f>
        <v>602.19</v>
      </c>
      <c r="M22" s="10">
        <f>300.93+30.77+297.4</f>
        <v>629.0999999999999</v>
      </c>
      <c r="N22" s="10">
        <f>317+31.18+231.68</f>
        <v>579.86</v>
      </c>
      <c r="O22" s="10">
        <f>383.89+27.98+180.59</f>
        <v>592.46</v>
      </c>
      <c r="P22" s="10">
        <f>308.31+26.25+172.32</f>
        <v>506.88</v>
      </c>
      <c r="Q22" s="10">
        <f>29.54+200.24+389.07</f>
        <v>618.85</v>
      </c>
      <c r="R22" s="10">
        <f>31.36+304.31+301.62</f>
        <v>637.29</v>
      </c>
      <c r="S22" s="10">
        <f>351.41+24.67+235.35</f>
        <v>611.4300000000001</v>
      </c>
      <c r="T22" s="10">
        <f>32.94+423.52+342.56</f>
        <v>799.02</v>
      </c>
      <c r="U22" s="10">
        <f>26.99+236.24+490.75</f>
        <v>753.98</v>
      </c>
      <c r="V22" s="17">
        <f>445.61+31.21+399.8</f>
        <v>876.62</v>
      </c>
      <c r="W22" s="53">
        <f t="shared" si="2"/>
        <v>7751.46</v>
      </c>
      <c r="X22" s="55">
        <f t="shared" si="3"/>
        <v>54740.14</v>
      </c>
    </row>
    <row r="23" spans="1:24" ht="15.75" customHeight="1" thickBot="1">
      <c r="A23" s="36" t="s">
        <v>54</v>
      </c>
      <c r="B23" s="31" t="s">
        <v>9</v>
      </c>
      <c r="C23" s="43">
        <v>33823.05</v>
      </c>
      <c r="D23" s="65">
        <v>52584.49</v>
      </c>
      <c r="E23" s="43">
        <v>66112.21</v>
      </c>
      <c r="F23" s="43">
        <v>69560.91</v>
      </c>
      <c r="G23" s="43">
        <v>71177.73</v>
      </c>
      <c r="H23" s="43">
        <v>77762.99</v>
      </c>
      <c r="I23" s="43">
        <v>72624.28</v>
      </c>
      <c r="J23" s="43">
        <v>69814.16</v>
      </c>
      <c r="K23" s="9">
        <f>16137.51-8907.23</f>
        <v>7230.280000000001</v>
      </c>
      <c r="L23" s="10">
        <f>15928.72-8015.83</f>
        <v>7912.889999999999</v>
      </c>
      <c r="M23" s="10">
        <f>11716.62-6111.59</f>
        <v>5605.030000000001</v>
      </c>
      <c r="N23" s="10">
        <f>12986.95-6200.15</f>
        <v>6786.800000000001</v>
      </c>
      <c r="O23" s="10">
        <f>12725.27-7131.6</f>
        <v>5593.67</v>
      </c>
      <c r="P23" s="10">
        <f>13353.89-6803.64</f>
        <v>6550.249999999999</v>
      </c>
      <c r="Q23" s="10">
        <f>13344.38-6450.27</f>
        <v>6894.109999999999</v>
      </c>
      <c r="R23" s="10">
        <f>22501.31-15865.44</f>
        <v>6635.870000000001</v>
      </c>
      <c r="S23" s="10">
        <f>10528.93-4348.27</f>
        <v>6180.66</v>
      </c>
      <c r="T23" s="10">
        <f>9974.36-4706.26</f>
        <v>5268.1</v>
      </c>
      <c r="U23" s="10">
        <f>11633.02-4800.27</f>
        <v>6832.75</v>
      </c>
      <c r="V23" s="17">
        <f>12192.34-4973.05-0.07</f>
        <v>7219.22</v>
      </c>
      <c r="W23" s="53">
        <f t="shared" si="2"/>
        <v>78709.63</v>
      </c>
      <c r="X23" s="55">
        <f t="shared" si="3"/>
        <v>592169.4500000002</v>
      </c>
    </row>
    <row r="24" spans="1:24" ht="13.5" customHeight="1" thickBot="1">
      <c r="A24" s="36" t="s">
        <v>55</v>
      </c>
      <c r="B24" s="32" t="s">
        <v>3</v>
      </c>
      <c r="C24" s="44">
        <v>4244.75</v>
      </c>
      <c r="D24" s="66">
        <v>8428</v>
      </c>
      <c r="E24" s="44">
        <v>5796.75</v>
      </c>
      <c r="F24" s="44">
        <v>5141.32</v>
      </c>
      <c r="G24" s="44">
        <v>5171.1</v>
      </c>
      <c r="H24" s="44">
        <v>5127.96</v>
      </c>
      <c r="I24" s="44">
        <v>5071.25</v>
      </c>
      <c r="J24" s="44">
        <v>5760.28</v>
      </c>
      <c r="K24" s="11">
        <f>1435.14+66.16+1597.7</f>
        <v>3099</v>
      </c>
      <c r="L24" s="12">
        <f>52.69+437.04</f>
        <v>489.73</v>
      </c>
      <c r="M24" s="12">
        <f>52.62+435.91</f>
        <v>488.53000000000003</v>
      </c>
      <c r="N24" s="12">
        <f>75.91+629</f>
        <v>704.91</v>
      </c>
      <c r="O24" s="12">
        <f>58.84+487.43</f>
        <v>546.27</v>
      </c>
      <c r="P24" s="12">
        <f>53.38+442.15</f>
        <v>495.53</v>
      </c>
      <c r="Q24" s="12">
        <f>48.58+402.99</f>
        <v>451.57</v>
      </c>
      <c r="R24" s="12">
        <f>35.16+439.25</f>
        <v>474.40999999999997</v>
      </c>
      <c r="S24" s="12">
        <f>8.9+449.16</f>
        <v>458.06</v>
      </c>
      <c r="T24" s="12">
        <f>9.38+450.73</f>
        <v>460.11</v>
      </c>
      <c r="U24" s="12">
        <f>7.81+472.71</f>
        <v>480.52</v>
      </c>
      <c r="V24" s="19">
        <f>4.19+421.61</f>
        <v>425.8</v>
      </c>
      <c r="W24" s="53">
        <f t="shared" si="2"/>
        <v>8574.439999999999</v>
      </c>
      <c r="X24" s="55">
        <f>SUM(C24:V24)</f>
        <v>53315.85</v>
      </c>
    </row>
    <row r="25" spans="1:24" ht="13.5" customHeight="1" thickBot="1">
      <c r="A25" s="36"/>
      <c r="B25" s="39" t="s">
        <v>58</v>
      </c>
      <c r="C25" s="68"/>
      <c r="D25" s="69"/>
      <c r="E25" s="68"/>
      <c r="F25" s="68"/>
      <c r="G25" s="70">
        <f>G7*5%</f>
        <v>7026.408</v>
      </c>
      <c r="H25" s="70">
        <f>H7*5%</f>
        <v>7025.0740000000005</v>
      </c>
      <c r="I25" s="71">
        <f>I7*5%</f>
        <v>7023.096000000001</v>
      </c>
      <c r="J25" s="71">
        <f>J7*5%</f>
        <v>7017.576</v>
      </c>
      <c r="K25" s="70">
        <f>K7*5%</f>
        <v>584.798</v>
      </c>
      <c r="L25" s="70">
        <f aca="true" t="shared" si="4" ref="L25:V25">L7*5%</f>
        <v>584.8439999999999</v>
      </c>
      <c r="M25" s="70">
        <f t="shared" si="4"/>
        <v>584.8439999999999</v>
      </c>
      <c r="N25" s="70">
        <f t="shared" si="4"/>
        <v>584.8439999999999</v>
      </c>
      <c r="O25" s="70">
        <f t="shared" si="4"/>
        <v>584.154</v>
      </c>
      <c r="P25" s="70">
        <f t="shared" si="4"/>
        <v>584.154</v>
      </c>
      <c r="Q25" s="70">
        <f t="shared" si="4"/>
        <v>584.154</v>
      </c>
      <c r="R25" s="70">
        <f t="shared" si="4"/>
        <v>584.154</v>
      </c>
      <c r="S25" s="70">
        <f t="shared" si="4"/>
        <v>584.154</v>
      </c>
      <c r="T25" s="70">
        <f t="shared" si="4"/>
        <v>584.154</v>
      </c>
      <c r="U25" s="70">
        <f t="shared" si="4"/>
        <v>584.154</v>
      </c>
      <c r="V25" s="70">
        <f t="shared" si="4"/>
        <v>584.154</v>
      </c>
      <c r="W25" s="71">
        <f t="shared" si="2"/>
        <v>7012.562000000002</v>
      </c>
      <c r="X25" s="59"/>
    </row>
    <row r="26" spans="1:24" ht="13.5" customHeight="1" thickBot="1">
      <c r="A26" s="36" t="s">
        <v>40</v>
      </c>
      <c r="B26" s="57" t="s">
        <v>50</v>
      </c>
      <c r="C26" s="58"/>
      <c r="D26" s="67"/>
      <c r="E26" s="58"/>
      <c r="F26" s="58"/>
      <c r="G26" s="58"/>
      <c r="H26" s="58"/>
      <c r="I26" s="58"/>
      <c r="J26" s="75">
        <f aca="true" t="shared" si="5" ref="J26:V26">SUM(J7+J8-J9)-J25</f>
        <v>1759.6339999999918</v>
      </c>
      <c r="K26" s="72">
        <f t="shared" si="5"/>
        <v>-3615.7580000000025</v>
      </c>
      <c r="L26" s="71">
        <f t="shared" si="5"/>
        <v>-3406.094</v>
      </c>
      <c r="M26" s="72">
        <f t="shared" si="5"/>
        <v>806.0059999999968</v>
      </c>
      <c r="N26" s="71">
        <f t="shared" si="5"/>
        <v>-464.3240000000013</v>
      </c>
      <c r="O26" s="72">
        <f t="shared" si="5"/>
        <v>-215.81399999999985</v>
      </c>
      <c r="P26" s="71">
        <f t="shared" si="5"/>
        <v>-844.4340000000007</v>
      </c>
      <c r="Q26" s="72">
        <f t="shared" si="5"/>
        <v>-769.8639999999991</v>
      </c>
      <c r="R26" s="71">
        <f t="shared" si="5"/>
        <v>-11286.364000000001</v>
      </c>
      <c r="S26" s="72">
        <f t="shared" si="5"/>
        <v>686.0160000000019</v>
      </c>
      <c r="T26" s="71">
        <f t="shared" si="5"/>
        <v>1240.5859999999998</v>
      </c>
      <c r="U26" s="72">
        <f t="shared" si="5"/>
        <v>-418.07400000000007</v>
      </c>
      <c r="V26" s="71">
        <f t="shared" si="5"/>
        <v>-977.3240000000001</v>
      </c>
      <c r="W26" s="71">
        <f t="shared" si="2"/>
        <v>-19265.442000000006</v>
      </c>
      <c r="X26" s="59"/>
    </row>
    <row r="27" spans="1:24" ht="24" customHeight="1" thickBot="1">
      <c r="A27" s="76" t="s">
        <v>41</v>
      </c>
      <c r="B27" s="83" t="s">
        <v>23</v>
      </c>
      <c r="C27" s="84">
        <v>16187.02</v>
      </c>
      <c r="D27" s="85">
        <f>SUM(D7-D9)</f>
        <v>2661.679999999993</v>
      </c>
      <c r="E27" s="86">
        <f>SUM(E7-E9)</f>
        <v>14578.49999999997</v>
      </c>
      <c r="F27" s="86">
        <f>SUM(F7-F9)</f>
        <v>-29863.53999999998</v>
      </c>
      <c r="G27" s="87">
        <f>SUM(G7-G9)-G25</f>
        <v>1448.8619999999892</v>
      </c>
      <c r="H27" s="87">
        <f>SUM(H7-H9)-H25</f>
        <v>-11365.733999999975</v>
      </c>
      <c r="I27" s="87">
        <f>SUM(I7-I9)-I25</f>
        <v>-9993.15599999997</v>
      </c>
      <c r="J27" s="88">
        <f>SUM(J7+J8-J9)-J25</f>
        <v>1759.6339999999918</v>
      </c>
      <c r="K27" s="89">
        <f>SUM(K7+K8-K9)-K25</f>
        <v>-3615.7580000000025</v>
      </c>
      <c r="L27" s="87">
        <f>SUM(L26+K27)</f>
        <v>-7021.852000000003</v>
      </c>
      <c r="M27" s="89">
        <f aca="true" t="shared" si="6" ref="M27:V27">SUM(M26+L27)</f>
        <v>-6215.846000000006</v>
      </c>
      <c r="N27" s="87">
        <f t="shared" si="6"/>
        <v>-6680.170000000007</v>
      </c>
      <c r="O27" s="89">
        <f t="shared" si="6"/>
        <v>-6895.984000000008</v>
      </c>
      <c r="P27" s="87">
        <f t="shared" si="6"/>
        <v>-7740.418000000009</v>
      </c>
      <c r="Q27" s="89">
        <f t="shared" si="6"/>
        <v>-8510.282000000008</v>
      </c>
      <c r="R27" s="87">
        <f t="shared" si="6"/>
        <v>-19796.646000000008</v>
      </c>
      <c r="S27" s="89">
        <f t="shared" si="6"/>
        <v>-19110.630000000005</v>
      </c>
      <c r="T27" s="87">
        <f t="shared" si="6"/>
        <v>-17870.044000000005</v>
      </c>
      <c r="U27" s="89">
        <f t="shared" si="6"/>
        <v>-18288.118000000006</v>
      </c>
      <c r="V27" s="87">
        <f t="shared" si="6"/>
        <v>-19265.442000000006</v>
      </c>
      <c r="W27" s="86"/>
      <c r="X27" s="90"/>
    </row>
    <row r="28" spans="1:24" ht="0.75" customHeight="1" thickBot="1">
      <c r="A28" s="36" t="s">
        <v>42</v>
      </c>
      <c r="B28" s="39" t="s">
        <v>24</v>
      </c>
      <c r="C28" s="39">
        <v>16187.02</v>
      </c>
      <c r="D28" s="18">
        <f>SUM(D7-D9,C28)</f>
        <v>18848.699999999993</v>
      </c>
      <c r="E28" s="53">
        <f>SUM(E7-E9,D28)</f>
        <v>33427.19999999997</v>
      </c>
      <c r="F28" s="53">
        <f>SUM(F7-F9,E28)</f>
        <v>3563.659999999989</v>
      </c>
      <c r="G28" s="71">
        <f>SUM(G27+F28)</f>
        <v>5012.521999999978</v>
      </c>
      <c r="H28" s="71">
        <f>SUM(H27+G28)</f>
        <v>-6353.211999999997</v>
      </c>
      <c r="I28" s="71">
        <f>SUM(I27+H28)</f>
        <v>-16346.367999999966</v>
      </c>
      <c r="J28" s="71">
        <f>SUM(J27+I28)</f>
        <v>-14586.733999999975</v>
      </c>
      <c r="K28" s="71">
        <f>SUM(K27+J28)</f>
        <v>-18202.491999999977</v>
      </c>
      <c r="L28" s="71">
        <f>SUM(L26+K28)</f>
        <v>-21608.585999999978</v>
      </c>
      <c r="M28" s="73">
        <f aca="true" t="shared" si="7" ref="M28:U28">SUM(M26+L28)</f>
        <v>-20802.57999999998</v>
      </c>
      <c r="N28" s="71">
        <f t="shared" si="7"/>
        <v>-21266.90399999998</v>
      </c>
      <c r="O28" s="73">
        <f t="shared" si="7"/>
        <v>-21482.71799999998</v>
      </c>
      <c r="P28" s="71">
        <f t="shared" si="7"/>
        <v>-22327.15199999998</v>
      </c>
      <c r="Q28" s="73">
        <f t="shared" si="7"/>
        <v>-23097.015999999978</v>
      </c>
      <c r="R28" s="71">
        <f t="shared" si="7"/>
        <v>-34383.379999999976</v>
      </c>
      <c r="S28" s="73">
        <f t="shared" si="7"/>
        <v>-33697.36399999997</v>
      </c>
      <c r="T28" s="71">
        <f t="shared" si="7"/>
        <v>-32456.777999999973</v>
      </c>
      <c r="U28" s="73">
        <f t="shared" si="7"/>
        <v>-32874.85199999997</v>
      </c>
      <c r="V28" s="71">
        <f>SUM(V26+U28)</f>
        <v>-33852.17599999997</v>
      </c>
      <c r="W28" s="53"/>
      <c r="X28" s="46"/>
    </row>
    <row r="29" spans="1:24" ht="10.5" customHeight="1" hidden="1" thickBot="1">
      <c r="A29" s="36" t="s">
        <v>42</v>
      </c>
      <c r="B29" s="39" t="s">
        <v>7</v>
      </c>
      <c r="C29" s="40"/>
      <c r="D29" s="40"/>
      <c r="E29" s="61"/>
      <c r="F29" s="61"/>
      <c r="G29" s="61"/>
      <c r="H29" s="61"/>
      <c r="I29" s="61"/>
      <c r="J29" s="61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0"/>
      <c r="W29" s="52"/>
      <c r="X29" s="47"/>
    </row>
    <row r="30" spans="1:24" ht="15" customHeight="1" hidden="1" thickBot="1">
      <c r="A30" s="36" t="s">
        <v>43</v>
      </c>
      <c r="B30" s="33" t="s">
        <v>25</v>
      </c>
      <c r="C30" s="40"/>
      <c r="D30" s="40"/>
      <c r="E30" s="61"/>
      <c r="F30" s="61"/>
      <c r="G30" s="61"/>
      <c r="H30" s="61"/>
      <c r="I30" s="61"/>
      <c r="J30" s="61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0"/>
      <c r="W30" s="53"/>
      <c r="X30" s="48"/>
    </row>
    <row r="31" spans="1:24" ht="24" customHeight="1" hidden="1" thickBot="1">
      <c r="A31" s="37" t="s">
        <v>44</v>
      </c>
      <c r="B31" s="34" t="s">
        <v>47</v>
      </c>
      <c r="C31" s="41"/>
      <c r="D31" s="41"/>
      <c r="E31" s="62"/>
      <c r="F31" s="62"/>
      <c r="G31" s="62"/>
      <c r="H31" s="62"/>
      <c r="I31" s="62"/>
      <c r="J31" s="62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>SUM(V27-V29)</f>
        <v>-19265.442000000006</v>
      </c>
      <c r="W31" s="54"/>
      <c r="X31" s="49"/>
    </row>
    <row r="32" spans="1:24" ht="23.25" customHeight="1" hidden="1" thickBot="1">
      <c r="A32" s="37" t="s">
        <v>46</v>
      </c>
      <c r="B32" s="34" t="s">
        <v>26</v>
      </c>
      <c r="C32" s="41"/>
      <c r="D32" s="41"/>
      <c r="E32" s="62"/>
      <c r="F32" s="62"/>
      <c r="G32" s="62"/>
      <c r="H32" s="62"/>
      <c r="I32" s="62"/>
      <c r="J32" s="6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>
        <f>SUM(V28-V29)</f>
        <v>-33852.17599999997</v>
      </c>
      <c r="W32" s="54"/>
      <c r="X32" s="49"/>
    </row>
    <row r="33" spans="3:24" ht="24" customHeight="1" hidden="1"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</row>
    <row r="34" ht="12.75">
      <c r="B34" t="s">
        <v>66</v>
      </c>
    </row>
    <row r="35" ht="12.75" hidden="1"/>
    <row r="36" ht="12.75" hidden="1"/>
    <row r="37" ht="12.75" hidden="1"/>
    <row r="42" ht="12.75" customHeight="1"/>
    <row r="43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2019-02-11T13:00:26Z</cp:lastPrinted>
  <dcterms:created xsi:type="dcterms:W3CDTF">2011-06-16T11:06:26Z</dcterms:created>
  <dcterms:modified xsi:type="dcterms:W3CDTF">2019-02-12T11:44:50Z</dcterms:modified>
  <cp:category/>
  <cp:version/>
  <cp:contentType/>
  <cp:contentStatus/>
</cp:coreProperties>
</file>