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<sst xmlns="http://schemas.openxmlformats.org/spreadsheetml/2006/main" count="79" uniqueCount="78">
  <si>
    <t>СПРАВКА</t>
  </si>
  <si>
    <t xml:space="preserve">Начислено  </t>
  </si>
  <si>
    <t>Расходы</t>
  </si>
  <si>
    <t>Услуги РИРЦ</t>
  </si>
  <si>
    <t>Вывоз ТБО</t>
  </si>
  <si>
    <t>Тех.обслуж.газового обор.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</si>
  <si>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</si>
  <si>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</si>
  <si>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</si>
  <si>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</si>
  <si>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</si>
  <si>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</si>
  <si>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</si>
  <si>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</si>
  <si>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</si>
  <si>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</si>
  <si>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</si>
  <si>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</si>
  <si>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</si>
  <si>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</si>
  <si>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</si>
  <si>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</si>
  <si>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</si>
  <si>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</si>
  <si>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</si>
  <si>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</si>
  <si>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№</t>
  </si>
  <si>
    <t>1</t>
  </si>
  <si>
    <t>4</t>
  </si>
  <si>
    <t>4.1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</si>
  <si>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</si>
  <si>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</si>
  <si>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</si>
  <si>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</si>
  <si>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</si>
  <si>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</si>
  <si>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</si>
  <si>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</si>
  <si>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</si>
  <si>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5</t>
  </si>
  <si>
    <t>6</t>
  </si>
  <si>
    <t>7</t>
  </si>
  <si>
    <t>8</t>
  </si>
  <si>
    <t>9</t>
  </si>
  <si>
    <t>по жилому дому г. Унеча ул. Иванова д.5</t>
  </si>
  <si>
    <t>за 2010 г</t>
  </si>
  <si>
    <t>10</t>
  </si>
  <si>
    <t>Итого за 2011 г</t>
  </si>
  <si>
    <t>Результат за месяц</t>
  </si>
  <si>
    <t>Благоустройство территории</t>
  </si>
  <si>
    <t>Итого за 2012 г</t>
  </si>
  <si>
    <t>Финансовый результат по дому с начала года по оплате</t>
  </si>
  <si>
    <t>Финансовый результат по дому с начала деятельности по оплате</t>
  </si>
  <si>
    <t>4.12</t>
  </si>
  <si>
    <t>4.13</t>
  </si>
  <si>
    <t>Итого за 2013 г</t>
  </si>
  <si>
    <t>Итого за 2014 г</t>
  </si>
  <si>
    <t>рентабельность 5%</t>
  </si>
  <si>
    <t xml:space="preserve">Материалы 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</si>
  <si>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</si>
  <si>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</si>
  <si>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Услуги сторонних орган.</t>
  </si>
  <si>
    <t>Итого за 2015 г</t>
  </si>
  <si>
    <t>Исполнитель  вед. экономист /Викторова Л.С./</t>
  </si>
  <si>
    <t>Итого за 2016 г</t>
  </si>
  <si>
    <t>4.8</t>
  </si>
  <si>
    <t>Проверка вент.каналов</t>
  </si>
  <si>
    <t>Дом по ул.Иванова д.5 вступил в ООО "Наш дом" с апреля 2010 года                                                тариф 8,3 руб</t>
  </si>
  <si>
    <t>Итого за 2017 г</t>
  </si>
  <si>
    <t>Начислено СОИД</t>
  </si>
  <si>
    <t>Электроэнергия  СОИД</t>
  </si>
  <si>
    <t>Горячая вода СОИД</t>
  </si>
  <si>
    <t>Холодная вола СОИД</t>
  </si>
  <si>
    <t>Канализация СОИД</t>
  </si>
  <si>
    <t>Транспортные(ГСМ,зап.части,амортизация,страхование )</t>
  </si>
  <si>
    <t>Итого за 2018 г</t>
  </si>
  <si>
    <t>Всего за 2010-2018</t>
  </si>
  <si>
    <t>Дератизация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</si>
</sst>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4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5" xfId="0" applyFont="1" applyBorder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8" xfId="0" applyFont="1" applyFill="1" applyBorder="1" applyAlignment="1">
      <alignment/>
    </xf>
    <xf numFmtId="0" fontId="0" fillId="2" borderId="26" xfId="0" applyFill="1" applyBorder="1" applyAlignment="1">
      <alignment/>
    </xf>
    <xf numFmtId="0" fontId="25" fillId="0" borderId="26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9" xfId="0" applyFont="1" applyBorder="1" applyAlignment="1">
      <alignment horizontal="left" vertical="center" wrapText="1"/>
    </xf>
    <xf numFmtId="0" fontId="24" fillId="0" borderId="30" xfId="0" applyFont="1" applyBorder="1" applyAlignment="1">
      <alignment wrapText="1"/>
    </xf>
    <xf numFmtId="0" fontId="21" fillId="0" borderId="31" xfId="0" applyFont="1" applyBorder="1" applyAlignment="1">
      <alignment horizontal="left" wrapText="1"/>
    </xf>
    <xf numFmtId="49" fontId="21" fillId="0" borderId="30" xfId="0" applyNumberFormat="1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21" fillId="2" borderId="33" xfId="0" applyFont="1" applyFill="1" applyBorder="1" applyAlignment="1">
      <alignment wrapText="1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1" fillId="0" borderId="26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2" borderId="37" xfId="0" applyFont="1" applyFill="1" applyBorder="1" applyAlignment="1">
      <alignment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left" wrapText="1"/>
    </xf>
    <xf numFmtId="0" fontId="21" fillId="0" borderId="26" xfId="0" applyFont="1" applyBorder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37" xfId="0" applyFont="1" applyBorder="1" applyAlignment="1">
      <alignment/>
    </xf>
    <xf numFmtId="0" fontId="20" fillId="2" borderId="37" xfId="0" applyFont="1" applyFill="1" applyBorder="1" applyAlignment="1">
      <alignment/>
    </xf>
    <xf numFmtId="0" fontId="21" fillId="0" borderId="39" xfId="0" applyFont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0" fontId="21" fillId="0" borderId="23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2" borderId="28" xfId="0" applyFont="1" applyFill="1" applyBorder="1" applyAlignment="1">
      <alignment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0" fontId="26" fillId="0" borderId="34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2" fontId="21" fillId="0" borderId="18" xfId="0" applyNumberFormat="1" applyFont="1" applyBorder="1" applyAlignment="1">
      <alignment/>
    </xf>
    <xf numFmtId="2" fontId="21" fillId="0" borderId="26" xfId="0" applyNumberFormat="1" applyFont="1" applyBorder="1" applyAlignment="1">
      <alignment/>
    </xf>
    <xf numFmtId="2" fontId="21" fillId="0" borderId="28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2" fontId="21" fillId="0" borderId="29" xfId="0" applyNumberFormat="1" applyFont="1" applyBorder="1" applyAlignment="1">
      <alignment/>
    </xf>
    <xf numFmtId="0" fontId="26" fillId="0" borderId="38" xfId="0" applyFont="1" applyBorder="1" applyAlignment="1">
      <alignment wrapText="1"/>
    </xf>
    <xf numFmtId="0" fontId="27" fillId="0" borderId="34" xfId="0" applyFont="1" applyBorder="1" applyAlignment="1">
      <alignment/>
    </xf>
    <xf numFmtId="2" fontId="27" fillId="0" borderId="27" xfId="0" applyNumberFormat="1" applyFont="1" applyBorder="1" applyAlignment="1">
      <alignment/>
    </xf>
    <xf numFmtId="2" fontId="27" fillId="0" borderId="26" xfId="0" applyNumberFormat="1" applyFont="1" applyBorder="1" applyAlignment="1">
      <alignment/>
    </xf>
    <xf numFmtId="2" fontId="27" fillId="0" borderId="38" xfId="0" applyNumberFormat="1" applyFont="1" applyBorder="1" applyAlignment="1">
      <alignment/>
    </xf>
    <xf numFmtId="2" fontId="21" fillId="0" borderId="37" xfId="0" applyNumberFormat="1" applyFont="1" applyBorder="1" applyAlignment="1">
      <alignment/>
    </xf>
    <xf numFmtId="49" fontId="22" fillId="0" borderId="35" xfId="0" applyNumberFormat="1" applyFont="1" applyBorder="1" applyAlignment="1">
      <alignment horizontal="center"/>
    </xf>
    <xf numFmtId="0" fontId="19" fillId="0" borderId="29" xfId="0" applyFont="1" applyBorder="1" applyAlignment="1">
      <alignment wrapText="1"/>
    </xf>
    <xf numFmtId="0" fontId="28" fillId="0" borderId="26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11" xfId="0" applyFont="1" applyBorder="1" applyAlignment="1">
      <alignment/>
    </xf>
    <xf numFmtId="0" fontId="29" fillId="0" borderId="26" xfId="0" applyFont="1" applyBorder="1" applyAlignment="1">
      <alignment/>
    </xf>
    <xf numFmtId="0" fontId="22" fillId="0" borderId="0" xfId="0" applyFont="1" applyAlignment="1">
      <alignment/>
    </xf>
    <xf numFmtId="0" fontId="28" fillId="0" borderId="44" xfId="0" applyFont="1" applyBorder="1" applyAlignment="1">
      <alignment wrapText="1"/>
    </xf>
    <xf numFmtId="0" fontId="28" fillId="0" borderId="26" xfId="0" applyFont="1" applyBorder="1" applyAlignment="1">
      <alignment wrapText="1"/>
    </xf>
    <xf numFmtId="2" fontId="28" fillId="0" borderId="26" xfId="0" applyNumberFormat="1" applyFont="1" applyBorder="1" applyAlignment="1">
      <alignment/>
    </xf>
    <xf numFmtId="2" fontId="28" fillId="0" borderId="23" xfId="0" applyNumberFormat="1" applyFont="1" applyBorder="1" applyAlignment="1">
      <alignment/>
    </xf>
    <xf numFmtId="2" fontId="28" fillId="0" borderId="11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zoomScalePageLayoutView="0" workbookViewId="0" topLeftCell="A13">
      <selection activeCell="T26" sqref="T26"/>
    </sheetView>
  </sheetViews>
  <sheetFormatPr defaultColWidth="9.00390625" defaultRowHeight="12.75"/>
  <cols>
    <col min="1" max="1" width="0.12890625" style="31" customWidth="1"/>
    <col min="2" max="2" width="20.125" style="0" customWidth="1"/>
    <col min="3" max="3" width="7.125" style="0" hidden="1" customWidth="1"/>
    <col min="4" max="4" width="10.00390625" style="0" hidden="1" customWidth="1"/>
    <col min="5" max="5" width="9.875" style="0" hidden="1" customWidth="1"/>
    <col min="6" max="6" width="9.625" style="0" hidden="1" customWidth="1"/>
    <col min="7" max="7" width="9.375" style="0" hidden="1" customWidth="1"/>
    <col min="8" max="8" width="9.625" style="0" hidden="1" customWidth="1"/>
    <col min="9" max="9" width="9.75390625" style="0" hidden="1" customWidth="1"/>
    <col min="10" max="10" width="9.375" style="0" hidden="1" customWidth="1"/>
    <col min="11" max="11" width="8.625" style="0" customWidth="1"/>
    <col min="12" max="12" width="8.125" style="0" customWidth="1"/>
    <col min="13" max="13" width="7.875" style="0" customWidth="1"/>
    <col min="14" max="14" width="8.625" style="0" customWidth="1"/>
    <col min="15" max="15" width="8.75390625" style="0" customWidth="1"/>
    <col min="16" max="16" width="8.875" style="0" customWidth="1"/>
    <col min="17" max="17" width="9.00390625" style="0" customWidth="1"/>
    <col min="18" max="18" width="9.375" style="0" customWidth="1"/>
    <col min="19" max="19" width="8.875" style="0" customWidth="1"/>
    <col min="20" max="21" width="9.125" style="0" customWidth="1"/>
    <col min="22" max="22" width="9.625" style="0" customWidth="1"/>
    <col min="23" max="23" width="9.375" style="0" customWidth="1"/>
    <col min="24" max="24" width="9.875" style="0" customWidth="1"/>
  </cols>
  <sheetData>
    <row r="1" spans="2:29" ht="12.75" customHeight="1">
      <c r="B1" s="93" t="s">
        <v>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2.75" customHeight="1">
      <c r="B2" s="93" t="s">
        <v>67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51"/>
      <c r="X2" s="4"/>
      <c r="Y2" s="4"/>
      <c r="Z2" s="4"/>
      <c r="AA2" s="4"/>
      <c r="AB2" s="4"/>
      <c r="AC2" s="4"/>
    </row>
    <row r="3" spans="2:29" ht="12.75" customHeight="1">
      <c r="B3" s="92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3"/>
      <c r="Z3" s="3"/>
      <c r="AA3" s="3"/>
      <c r="AB3" s="3"/>
      <c r="AC3" s="3"/>
    </row>
    <row r="4" spans="2:29" ht="15" customHeight="1">
      <c r="B4" s="91" t="s">
        <v>10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2"/>
      <c r="Z4" s="2"/>
      <c r="AA4" s="2"/>
      <c r="AB4" s="2"/>
      <c r="AC4" s="2"/>
    </row>
    <row r="5" spans="2:29" ht="16.5" customHeight="1" thickBot="1">
      <c r="B5" s="91" t="s">
        <v>44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2"/>
      <c r="Z5" s="2"/>
      <c r="AA5" s="2"/>
      <c r="AB5" s="2"/>
      <c r="AC5" s="2"/>
    </row>
    <row r="6" spans="2:29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  <c r="AA6" s="2"/>
      <c r="AB6" s="2"/>
      <c r="AC6" s="2"/>
    </row>
    <row r="7" spans="1:29" ht="31.5" customHeight="1" thickBot="1">
      <c r="A7" s="41" t="s">
        <v>26</v>
      </c>
      <c r="B7" s="32" t="s">
        <v>6</v>
      </c>
      <c r="C7" s="44" t="s">
        <v>45</v>
      </c>
      <c r="D7" s="53" t="s">
        <v>47</v>
      </c>
      <c r="E7" s="53" t="s">
        <v>50</v>
      </c>
      <c r="F7" s="53" t="s">
        <v>55</v>
      </c>
      <c r="G7" s="53" t="s">
        <v>56</v>
      </c>
      <c r="H7" s="53" t="s">
        <v>62</v>
      </c>
      <c r="I7" s="53" t="s">
        <v>64</v>
      </c>
      <c r="J7" s="53" t="s">
        <v>68</v>
      </c>
      <c r="K7" s="6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5" t="s">
        <v>17</v>
      </c>
      <c r="R7" s="5" t="s">
        <v>18</v>
      </c>
      <c r="S7" s="5" t="s">
        <v>19</v>
      </c>
      <c r="T7" s="5" t="s">
        <v>20</v>
      </c>
      <c r="U7" s="5" t="s">
        <v>22</v>
      </c>
      <c r="V7" s="17" t="s">
        <v>21</v>
      </c>
      <c r="W7" s="53" t="s">
        <v>75</v>
      </c>
      <c r="X7" s="24" t="s">
        <v>76</v>
      </c>
      <c r="Y7" s="1"/>
      <c r="Z7" s="1"/>
      <c r="AA7" s="1"/>
      <c r="AB7" s="1"/>
      <c r="AC7" s="1"/>
    </row>
    <row r="8" spans="1:24" ht="13.5" thickBot="1">
      <c r="A8" s="42" t="s">
        <v>27</v>
      </c>
      <c r="B8" s="33" t="s">
        <v>1</v>
      </c>
      <c r="C8" s="66">
        <v>47928.96</v>
      </c>
      <c r="D8" s="67">
        <v>63883.04</v>
      </c>
      <c r="E8" s="66">
        <v>63951.13</v>
      </c>
      <c r="F8" s="66">
        <v>65212.2</v>
      </c>
      <c r="G8" s="73">
        <v>65098.68</v>
      </c>
      <c r="H8" s="66">
        <v>65098.68</v>
      </c>
      <c r="I8" s="66">
        <v>65098.63</v>
      </c>
      <c r="J8" s="66">
        <v>65093.58</v>
      </c>
      <c r="K8" s="7">
        <v>5422.39</v>
      </c>
      <c r="L8" s="8">
        <v>5422.39</v>
      </c>
      <c r="M8" s="8">
        <v>5422.39</v>
      </c>
      <c r="N8" s="8">
        <v>5422.39</v>
      </c>
      <c r="O8" s="8">
        <v>5422.39</v>
      </c>
      <c r="P8" s="8">
        <v>5422.39</v>
      </c>
      <c r="Q8" s="8">
        <v>5422.39</v>
      </c>
      <c r="R8" s="8">
        <v>5422.39</v>
      </c>
      <c r="S8" s="8">
        <v>5422.39</v>
      </c>
      <c r="T8" s="8">
        <v>5422.39</v>
      </c>
      <c r="U8" s="8">
        <v>5422.39</v>
      </c>
      <c r="V8" s="8">
        <v>5422.39</v>
      </c>
      <c r="W8" s="54">
        <f>SUM(K8:V8)</f>
        <v>65068.68</v>
      </c>
      <c r="X8" s="74">
        <f>SUM(C8:V8)</f>
        <v>566433.5800000002</v>
      </c>
    </row>
    <row r="9" spans="1:24" ht="13.5" thickBot="1">
      <c r="A9" s="42"/>
      <c r="B9" s="33" t="s">
        <v>69</v>
      </c>
      <c r="C9" s="73"/>
      <c r="D9" s="67"/>
      <c r="E9" s="73"/>
      <c r="F9" s="73"/>
      <c r="G9" s="73"/>
      <c r="H9" s="73"/>
      <c r="I9" s="73">
        <v>0</v>
      </c>
      <c r="J9" s="73">
        <v>5436.15</v>
      </c>
      <c r="K9" s="7">
        <f>274.33+20.83+30.27+83.92</f>
        <v>409.34999999999997</v>
      </c>
      <c r="L9" s="8">
        <f>20.83+30.27+83.92+274.33</f>
        <v>409.34999999999997</v>
      </c>
      <c r="M9" s="8">
        <f>20.83+30.27+83.92+274.33</f>
        <v>409.34999999999997</v>
      </c>
      <c r="N9" s="8">
        <f>20.83+30.27+83.92+274.33</f>
        <v>409.34999999999997</v>
      </c>
      <c r="O9" s="8">
        <f>20.83+30.27+83.92+274.33</f>
        <v>409.34999999999997</v>
      </c>
      <c r="P9" s="8">
        <f>20.83+30.27+83.92+274.33</f>
        <v>409.34999999999997</v>
      </c>
      <c r="Q9" s="8">
        <f>287.95+20.92+30.54+85.98</f>
        <v>425.39000000000004</v>
      </c>
      <c r="R9" s="8">
        <f>20.92+30.54+85.98</f>
        <v>137.44</v>
      </c>
      <c r="S9" s="8">
        <f>20.92+30.54+85.98</f>
        <v>137.44</v>
      </c>
      <c r="T9" s="8">
        <f>20.92+30.54+85.98</f>
        <v>137.44</v>
      </c>
      <c r="U9" s="8">
        <f>20.92+30.54+85.98</f>
        <v>137.44</v>
      </c>
      <c r="V9" s="8">
        <f>20.92+30.54+85.98</f>
        <v>137.44</v>
      </c>
      <c r="W9" s="54">
        <f>SUM(K9:V9)</f>
        <v>3568.69</v>
      </c>
      <c r="X9" s="74">
        <f>SUM(C9:V9)</f>
        <v>9004.840000000004</v>
      </c>
    </row>
    <row r="10" spans="1:24" s="85" customFormat="1" ht="13.5" thickBot="1">
      <c r="A10" s="79" t="s">
        <v>28</v>
      </c>
      <c r="B10" s="80" t="s">
        <v>2</v>
      </c>
      <c r="C10" s="81">
        <f aca="true" t="shared" si="0" ref="C10:K10">SUM(C11:C26)</f>
        <v>41451.78</v>
      </c>
      <c r="D10" s="82">
        <f t="shared" si="0"/>
        <v>85289.52</v>
      </c>
      <c r="E10" s="81">
        <f t="shared" si="0"/>
        <v>71512.19</v>
      </c>
      <c r="F10" s="81">
        <f t="shared" si="0"/>
        <v>79276.18</v>
      </c>
      <c r="G10" s="81">
        <f t="shared" si="0"/>
        <v>77485.14</v>
      </c>
      <c r="H10" s="81">
        <f>SUM(H11:H26)</f>
        <v>73830.37</v>
      </c>
      <c r="I10" s="81">
        <f>SUM(I11:I26)</f>
        <v>72429.19</v>
      </c>
      <c r="J10" s="81">
        <f>SUM(J11:J26)</f>
        <v>81455.76999999999</v>
      </c>
      <c r="K10" s="83">
        <f t="shared" si="0"/>
        <v>6681.119999999999</v>
      </c>
      <c r="L10" s="83">
        <f aca="true" t="shared" si="1" ref="L10:V10">SUM(L11:L26)</f>
        <v>7245.610000000001</v>
      </c>
      <c r="M10" s="83">
        <f t="shared" si="1"/>
        <v>7401.2</v>
      </c>
      <c r="N10" s="83">
        <f t="shared" si="1"/>
        <v>10611.139999999998</v>
      </c>
      <c r="O10" s="83">
        <f t="shared" si="1"/>
        <v>6945.34</v>
      </c>
      <c r="P10" s="83">
        <f t="shared" si="1"/>
        <v>6963.46</v>
      </c>
      <c r="Q10" s="83">
        <f t="shared" si="1"/>
        <v>7017.260000000001</v>
      </c>
      <c r="R10" s="83">
        <f t="shared" si="1"/>
        <v>6968.7</v>
      </c>
      <c r="S10" s="83">
        <f t="shared" si="1"/>
        <v>6448.300000000001</v>
      </c>
      <c r="T10" s="83">
        <f t="shared" si="1"/>
        <v>6740.48</v>
      </c>
      <c r="U10" s="83">
        <f t="shared" si="1"/>
        <v>6996.06</v>
      </c>
      <c r="V10" s="82">
        <f t="shared" si="1"/>
        <v>6685.51</v>
      </c>
      <c r="W10" s="81">
        <f>SUM(K10:V10)</f>
        <v>86704.18</v>
      </c>
      <c r="X10" s="84">
        <f aca="true" t="shared" si="2" ref="X10:X26">SUM(C10:V10)</f>
        <v>669434.32</v>
      </c>
    </row>
    <row r="11" spans="1:24" ht="13.5" thickBot="1">
      <c r="A11" s="42" t="s">
        <v>29</v>
      </c>
      <c r="B11" s="35" t="s">
        <v>4</v>
      </c>
      <c r="C11" s="48">
        <v>8240.58</v>
      </c>
      <c r="D11" s="62">
        <v>12524.85</v>
      </c>
      <c r="E11" s="48">
        <v>13713.62</v>
      </c>
      <c r="F11" s="48">
        <v>15512.45</v>
      </c>
      <c r="G11" s="48">
        <v>15879.7</v>
      </c>
      <c r="H11" s="48">
        <v>15543.22</v>
      </c>
      <c r="I11" s="48">
        <v>15775.27</v>
      </c>
      <c r="J11" s="48">
        <v>15424.63</v>
      </c>
      <c r="K11" s="7">
        <f>1219+47.6</f>
        <v>1266.6</v>
      </c>
      <c r="L11" s="8">
        <f>1219+52.21</f>
        <v>1271.21</v>
      </c>
      <c r="M11" s="8">
        <f>1219+37.08</f>
        <v>1256.08</v>
      </c>
      <c r="N11" s="8">
        <f>1219+104.45</f>
        <v>1323.45</v>
      </c>
      <c r="O11" s="8">
        <f>1219+97.59</f>
        <v>1316.59</v>
      </c>
      <c r="P11" s="8">
        <f>1219+100.24</f>
        <v>1319.24</v>
      </c>
      <c r="Q11" s="8">
        <f>1219+85.53</f>
        <v>1304.53</v>
      </c>
      <c r="R11" s="8">
        <f>1219+108.14</f>
        <v>1327.14</v>
      </c>
      <c r="S11" s="8">
        <f>1219+80.38</f>
        <v>1299.38</v>
      </c>
      <c r="T11" s="8">
        <f>1219+65.22</f>
        <v>1284.22</v>
      </c>
      <c r="U11" s="8">
        <f>1219+75.72</f>
        <v>1294.72</v>
      </c>
      <c r="V11" s="18">
        <f>1219+69.59</f>
        <v>1288.59</v>
      </c>
      <c r="W11" s="52">
        <f aca="true" t="shared" si="3" ref="W11:W28">SUM(K11:V11)</f>
        <v>15551.75</v>
      </c>
      <c r="X11" s="75">
        <f t="shared" si="2"/>
        <v>128166.07000000002</v>
      </c>
    </row>
    <row r="12" spans="1:24" ht="15" customHeight="1" thickBot="1">
      <c r="A12" s="42" t="s">
        <v>30</v>
      </c>
      <c r="B12" s="36" t="s">
        <v>61</v>
      </c>
      <c r="C12" s="49">
        <v>10194.05</v>
      </c>
      <c r="D12" s="63">
        <v>6458.51</v>
      </c>
      <c r="E12" s="49">
        <v>99.21</v>
      </c>
      <c r="F12" s="49">
        <v>2882.3</v>
      </c>
      <c r="G12" s="49">
        <v>3477</v>
      </c>
      <c r="H12" s="49">
        <v>3790.33</v>
      </c>
      <c r="I12" s="49">
        <v>2141.84</v>
      </c>
      <c r="J12" s="49">
        <v>0</v>
      </c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9"/>
      <c r="W12" s="52">
        <f t="shared" si="3"/>
        <v>0</v>
      </c>
      <c r="X12" s="76">
        <f t="shared" si="2"/>
        <v>29043.239999999994</v>
      </c>
    </row>
    <row r="13" spans="1:24" ht="15.75" customHeight="1" thickBot="1">
      <c r="A13" s="42" t="s">
        <v>31</v>
      </c>
      <c r="B13" s="34" t="s">
        <v>5</v>
      </c>
      <c r="C13" s="49">
        <v>0</v>
      </c>
      <c r="D13" s="63">
        <v>9156.45</v>
      </c>
      <c r="E13" s="49">
        <v>0</v>
      </c>
      <c r="F13" s="49">
        <v>0</v>
      </c>
      <c r="G13" s="49">
        <v>2695</v>
      </c>
      <c r="H13" s="49">
        <v>0</v>
      </c>
      <c r="I13" s="49">
        <v>0</v>
      </c>
      <c r="J13" s="49">
        <v>2901.5</v>
      </c>
      <c r="K13" s="9"/>
      <c r="L13" s="10"/>
      <c r="M13" s="10"/>
      <c r="N13" s="10">
        <v>3444.45</v>
      </c>
      <c r="O13" s="10"/>
      <c r="P13" s="10"/>
      <c r="Q13" s="10"/>
      <c r="R13" s="10"/>
      <c r="S13" s="10"/>
      <c r="T13" s="10"/>
      <c r="U13" s="10"/>
      <c r="V13" s="19"/>
      <c r="W13" s="52">
        <f t="shared" si="3"/>
        <v>3444.45</v>
      </c>
      <c r="X13" s="75">
        <f t="shared" si="2"/>
        <v>18197.4</v>
      </c>
    </row>
    <row r="14" spans="1:24" ht="15" customHeight="1" thickBot="1">
      <c r="A14" s="42" t="s">
        <v>32</v>
      </c>
      <c r="B14" s="36" t="s">
        <v>58</v>
      </c>
      <c r="C14" s="49">
        <v>2561.68</v>
      </c>
      <c r="D14" s="63">
        <v>16851.25</v>
      </c>
      <c r="E14" s="49">
        <v>4737.15</v>
      </c>
      <c r="F14" s="49">
        <v>4093.84</v>
      </c>
      <c r="G14" s="49">
        <v>289.99</v>
      </c>
      <c r="H14" s="49">
        <v>800.77</v>
      </c>
      <c r="I14" s="49">
        <v>3039.53</v>
      </c>
      <c r="J14" s="49">
        <v>2449.82</v>
      </c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9"/>
      <c r="W14" s="52">
        <f t="shared" si="3"/>
        <v>0</v>
      </c>
      <c r="X14" s="76">
        <f t="shared" si="2"/>
        <v>34824.030000000006</v>
      </c>
    </row>
    <row r="15" spans="1:24" ht="23.25" customHeight="1" thickBot="1">
      <c r="A15" s="42" t="s">
        <v>33</v>
      </c>
      <c r="B15" s="36" t="s">
        <v>49</v>
      </c>
      <c r="C15" s="49"/>
      <c r="D15" s="63"/>
      <c r="E15" s="49">
        <v>256</v>
      </c>
      <c r="F15" s="49">
        <v>0</v>
      </c>
      <c r="G15" s="49">
        <v>12.12</v>
      </c>
      <c r="H15" s="49">
        <v>0</v>
      </c>
      <c r="I15" s="49">
        <v>186</v>
      </c>
      <c r="J15" s="49">
        <v>57.88</v>
      </c>
      <c r="K15" s="9">
        <v>14</v>
      </c>
      <c r="L15" s="10">
        <v>78</v>
      </c>
      <c r="M15" s="10"/>
      <c r="N15" s="10"/>
      <c r="O15" s="10"/>
      <c r="P15" s="10"/>
      <c r="Q15" s="10"/>
      <c r="R15" s="10"/>
      <c r="S15" s="10"/>
      <c r="T15" s="10"/>
      <c r="U15" s="10"/>
      <c r="V15" s="19"/>
      <c r="W15" s="52">
        <f t="shared" si="3"/>
        <v>92</v>
      </c>
      <c r="X15" s="76">
        <f t="shared" si="2"/>
        <v>604</v>
      </c>
    </row>
    <row r="16" spans="1:24" ht="14.25" customHeight="1" thickBot="1">
      <c r="A16" s="42" t="s">
        <v>34</v>
      </c>
      <c r="B16" s="36" t="s">
        <v>70</v>
      </c>
      <c r="C16" s="49">
        <v>1628</v>
      </c>
      <c r="D16" s="63">
        <v>1547.87</v>
      </c>
      <c r="E16" s="49">
        <v>730.77</v>
      </c>
      <c r="F16" s="49">
        <v>0</v>
      </c>
      <c r="G16" s="49"/>
      <c r="H16" s="49">
        <v>0</v>
      </c>
      <c r="I16" s="49">
        <v>0</v>
      </c>
      <c r="J16" s="49">
        <v>3802.83</v>
      </c>
      <c r="K16" s="9">
        <v>274.33</v>
      </c>
      <c r="L16" s="10">
        <v>274.33</v>
      </c>
      <c r="M16" s="10">
        <v>274.33</v>
      </c>
      <c r="N16" s="10">
        <v>274.33</v>
      </c>
      <c r="O16" s="10">
        <v>274.33</v>
      </c>
      <c r="P16" s="10">
        <v>274.33</v>
      </c>
      <c r="Q16" s="10">
        <v>287.95</v>
      </c>
      <c r="R16" s="10"/>
      <c r="S16" s="10"/>
      <c r="T16" s="10"/>
      <c r="U16" s="10"/>
      <c r="V16" s="19"/>
      <c r="W16" s="52">
        <f t="shared" si="3"/>
        <v>1933.9299999999998</v>
      </c>
      <c r="X16" s="76">
        <f t="shared" si="2"/>
        <v>9643.4</v>
      </c>
    </row>
    <row r="17" spans="1:24" ht="14.25" customHeight="1" thickBot="1">
      <c r="A17" s="42"/>
      <c r="B17" s="36" t="s">
        <v>71</v>
      </c>
      <c r="C17" s="49"/>
      <c r="D17" s="63"/>
      <c r="E17" s="49"/>
      <c r="F17" s="49"/>
      <c r="G17" s="49"/>
      <c r="H17" s="49"/>
      <c r="I17" s="49"/>
      <c r="J17" s="49">
        <v>800.91</v>
      </c>
      <c r="K17" s="9">
        <v>20.82</v>
      </c>
      <c r="L17" s="10">
        <v>20.82</v>
      </c>
      <c r="M17" s="10">
        <v>20.82</v>
      </c>
      <c r="N17" s="10">
        <v>20.82</v>
      </c>
      <c r="O17" s="10">
        <v>20.82</v>
      </c>
      <c r="P17" s="10">
        <v>20.82</v>
      </c>
      <c r="Q17" s="10">
        <v>20.95</v>
      </c>
      <c r="R17" s="10">
        <v>20.95</v>
      </c>
      <c r="S17" s="10">
        <v>20.95</v>
      </c>
      <c r="T17" s="10">
        <v>20.95</v>
      </c>
      <c r="U17" s="10">
        <v>20.95</v>
      </c>
      <c r="V17" s="10">
        <v>20.95</v>
      </c>
      <c r="W17" s="52">
        <f>SUM(K17:V17)</f>
        <v>250.61999999999992</v>
      </c>
      <c r="X17" s="75">
        <f>SUM(C17:V17)</f>
        <v>1051.5300000000004</v>
      </c>
    </row>
    <row r="18" spans="1:24" ht="14.25" customHeight="1" thickBot="1">
      <c r="A18" s="42"/>
      <c r="B18" s="36" t="s">
        <v>72</v>
      </c>
      <c r="C18" s="49"/>
      <c r="D18" s="63"/>
      <c r="E18" s="49"/>
      <c r="F18" s="49"/>
      <c r="G18" s="49"/>
      <c r="H18" s="49"/>
      <c r="I18" s="49"/>
      <c r="J18" s="49">
        <v>621.25</v>
      </c>
      <c r="K18" s="9">
        <v>83.93</v>
      </c>
      <c r="L18" s="10">
        <v>83.92</v>
      </c>
      <c r="M18" s="10">
        <v>83.92</v>
      </c>
      <c r="N18" s="10">
        <v>83.92</v>
      </c>
      <c r="O18" s="10">
        <v>83.92</v>
      </c>
      <c r="P18" s="10">
        <v>83.92</v>
      </c>
      <c r="Q18" s="10">
        <v>85.98</v>
      </c>
      <c r="R18" s="10">
        <v>85.98</v>
      </c>
      <c r="S18" s="10">
        <v>85.98</v>
      </c>
      <c r="T18" s="10">
        <v>85.98</v>
      </c>
      <c r="U18" s="10">
        <v>85.98</v>
      </c>
      <c r="V18" s="10">
        <v>85.98</v>
      </c>
      <c r="W18" s="52">
        <f>SUM(K18:V18)</f>
        <v>1019.4100000000002</v>
      </c>
      <c r="X18" s="76">
        <f>SUM(C18:V18)</f>
        <v>1640.66</v>
      </c>
    </row>
    <row r="19" spans="1:24" ht="14.25" customHeight="1" thickBot="1">
      <c r="A19" s="42"/>
      <c r="B19" s="36" t="s">
        <v>73</v>
      </c>
      <c r="C19" s="49"/>
      <c r="D19" s="63"/>
      <c r="E19" s="49"/>
      <c r="F19" s="49"/>
      <c r="G19" s="49"/>
      <c r="H19" s="49"/>
      <c r="I19" s="49"/>
      <c r="J19" s="49">
        <v>211.25</v>
      </c>
      <c r="K19" s="9">
        <v>30.28</v>
      </c>
      <c r="L19" s="10">
        <v>30.28</v>
      </c>
      <c r="M19" s="10">
        <v>30.28</v>
      </c>
      <c r="N19" s="10">
        <v>30.28</v>
      </c>
      <c r="O19" s="10">
        <v>30.28</v>
      </c>
      <c r="P19" s="10">
        <v>30.28</v>
      </c>
      <c r="Q19" s="10">
        <v>30.54</v>
      </c>
      <c r="R19" s="10">
        <v>30.54</v>
      </c>
      <c r="S19" s="10">
        <v>30.54</v>
      </c>
      <c r="T19" s="10">
        <v>30.54</v>
      </c>
      <c r="U19" s="10">
        <v>30.54</v>
      </c>
      <c r="V19" s="10">
        <v>30.54</v>
      </c>
      <c r="W19" s="52">
        <f>SUM(K19:V19)</f>
        <v>364.9200000000001</v>
      </c>
      <c r="X19" s="75">
        <f>SUM(C19:V19)</f>
        <v>576.17</v>
      </c>
    </row>
    <row r="20" spans="1:24" ht="15" customHeight="1" thickBot="1">
      <c r="A20" s="42" t="s">
        <v>35</v>
      </c>
      <c r="B20" s="36" t="s">
        <v>77</v>
      </c>
      <c r="C20" s="49">
        <v>756.93</v>
      </c>
      <c r="D20" s="63">
        <v>703.78</v>
      </c>
      <c r="E20" s="49">
        <v>628.53</v>
      </c>
      <c r="F20" s="49">
        <v>563.92</v>
      </c>
      <c r="G20" s="49"/>
      <c r="H20" s="49">
        <v>0</v>
      </c>
      <c r="I20" s="49">
        <v>0</v>
      </c>
      <c r="J20" s="49">
        <v>0</v>
      </c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9"/>
      <c r="W20" s="52">
        <f t="shared" si="3"/>
        <v>0</v>
      </c>
      <c r="X20" s="76">
        <f t="shared" si="2"/>
        <v>2653.16</v>
      </c>
    </row>
    <row r="21" spans="1:24" ht="15" customHeight="1" thickBot="1">
      <c r="A21" s="42" t="s">
        <v>65</v>
      </c>
      <c r="B21" s="36" t="s">
        <v>66</v>
      </c>
      <c r="C21" s="49"/>
      <c r="D21" s="63"/>
      <c r="E21" s="49"/>
      <c r="F21" s="49"/>
      <c r="G21" s="49"/>
      <c r="H21" s="49"/>
      <c r="I21" s="49">
        <v>900</v>
      </c>
      <c r="J21" s="49">
        <v>0</v>
      </c>
      <c r="K21" s="9"/>
      <c r="L21" s="10"/>
      <c r="M21" s="10">
        <v>500</v>
      </c>
      <c r="N21" s="10"/>
      <c r="O21" s="10"/>
      <c r="P21" s="10"/>
      <c r="Q21" s="10"/>
      <c r="R21" s="10"/>
      <c r="S21" s="10"/>
      <c r="T21" s="10"/>
      <c r="U21" s="10"/>
      <c r="V21" s="19"/>
      <c r="W21" s="52">
        <f>SUM(K21:V21)</f>
        <v>500</v>
      </c>
      <c r="X21" s="76">
        <f>SUM(C21:V21)</f>
        <v>1400</v>
      </c>
    </row>
    <row r="22" spans="1:24" ht="33" customHeight="1" thickBot="1">
      <c r="A22" s="42" t="s">
        <v>36</v>
      </c>
      <c r="B22" s="36" t="s">
        <v>74</v>
      </c>
      <c r="C22" s="49">
        <v>873.84</v>
      </c>
      <c r="D22" s="63">
        <v>3113.89</v>
      </c>
      <c r="E22" s="49">
        <v>4975.33</v>
      </c>
      <c r="F22" s="49">
        <v>4508.1</v>
      </c>
      <c r="G22" s="49">
        <v>2663.31</v>
      </c>
      <c r="H22" s="49">
        <v>3141.2</v>
      </c>
      <c r="I22" s="49">
        <v>3321.73</v>
      </c>
      <c r="J22" s="49">
        <v>3374.77</v>
      </c>
      <c r="K22" s="9">
        <v>294.22</v>
      </c>
      <c r="L22" s="10">
        <v>269.91</v>
      </c>
      <c r="M22" s="10">
        <v>359.96</v>
      </c>
      <c r="N22" s="10">
        <v>280.69</v>
      </c>
      <c r="O22" s="10">
        <v>236.09</v>
      </c>
      <c r="P22" s="10">
        <v>342.18</v>
      </c>
      <c r="Q22" s="10">
        <v>278.34</v>
      </c>
      <c r="R22" s="10">
        <v>284.64</v>
      </c>
      <c r="S22" s="10">
        <v>233.94</v>
      </c>
      <c r="T22" s="10">
        <v>351.17</v>
      </c>
      <c r="U22" s="10">
        <v>310.47</v>
      </c>
      <c r="V22" s="19">
        <v>303.18</v>
      </c>
      <c r="W22" s="52">
        <f t="shared" si="3"/>
        <v>3544.7900000000004</v>
      </c>
      <c r="X22" s="75">
        <f t="shared" si="2"/>
        <v>29516.959999999995</v>
      </c>
    </row>
    <row r="23" spans="1:24" ht="24.75" customHeight="1" thickBot="1">
      <c r="A23" s="42" t="s">
        <v>37</v>
      </c>
      <c r="B23" s="36" t="s">
        <v>59</v>
      </c>
      <c r="C23" s="49">
        <v>1436.71</v>
      </c>
      <c r="D23" s="63">
        <v>1795.56</v>
      </c>
      <c r="E23" s="49">
        <v>508.52</v>
      </c>
      <c r="F23" s="49">
        <v>369.02</v>
      </c>
      <c r="G23" s="49">
        <v>801.19</v>
      </c>
      <c r="H23" s="49">
        <v>541.35</v>
      </c>
      <c r="I23" s="49">
        <v>472.54</v>
      </c>
      <c r="J23" s="49">
        <v>369.13</v>
      </c>
      <c r="K23" s="9">
        <v>29.08</v>
      </c>
      <c r="L23" s="10">
        <v>19.52</v>
      </c>
      <c r="M23" s="10">
        <v>13.86</v>
      </c>
      <c r="N23" s="10">
        <v>19.48</v>
      </c>
      <c r="O23" s="10">
        <v>18.09</v>
      </c>
      <c r="P23" s="10">
        <v>21.57</v>
      </c>
      <c r="Q23" s="10">
        <v>65.96</v>
      </c>
      <c r="R23" s="10">
        <v>16.89</v>
      </c>
      <c r="S23" s="10">
        <v>20.91</v>
      </c>
      <c r="T23" s="10">
        <v>18.11</v>
      </c>
      <c r="U23" s="10">
        <v>86.59</v>
      </c>
      <c r="V23" s="19">
        <v>27.53</v>
      </c>
      <c r="W23" s="52">
        <f t="shared" si="3"/>
        <v>357.5899999999999</v>
      </c>
      <c r="X23" s="76">
        <f t="shared" si="2"/>
        <v>6651.61</v>
      </c>
    </row>
    <row r="24" spans="1:24" ht="34.5" thickBot="1">
      <c r="A24" s="42" t="s">
        <v>38</v>
      </c>
      <c r="B24" s="36" t="s">
        <v>60</v>
      </c>
      <c r="C24" s="49">
        <v>468.62</v>
      </c>
      <c r="D24" s="63">
        <v>2696.35</v>
      </c>
      <c r="E24" s="49">
        <v>2648.32</v>
      </c>
      <c r="F24" s="49">
        <v>3619.93</v>
      </c>
      <c r="G24" s="49">
        <v>3106.7</v>
      </c>
      <c r="H24" s="49">
        <v>4013.02</v>
      </c>
      <c r="I24" s="49">
        <v>3334.14</v>
      </c>
      <c r="J24" s="49">
        <v>3640.42</v>
      </c>
      <c r="K24" s="9">
        <f>14.55+104.09+160.8</f>
        <v>279.44</v>
      </c>
      <c r="L24" s="10">
        <f>152.67+15.95+140.81</f>
        <v>309.42999999999995</v>
      </c>
      <c r="M24" s="10">
        <f>154.63+15.81+152.82</f>
        <v>323.26</v>
      </c>
      <c r="N24" s="10">
        <f>162.89+16.02+119.05</f>
        <v>297.96</v>
      </c>
      <c r="O24" s="10">
        <f>197.49+14.4+92.9</f>
        <v>304.79</v>
      </c>
      <c r="P24" s="10">
        <f>158.61+13.5+88.65</f>
        <v>260.76</v>
      </c>
      <c r="Q24" s="10">
        <f>15.19+103.01+200.16</f>
        <v>318.36</v>
      </c>
      <c r="R24" s="10">
        <f>16.13+156.55+155.17</f>
        <v>327.85</v>
      </c>
      <c r="S24" s="10">
        <f>180.78+12.69+121.07</f>
        <v>314.53999999999996</v>
      </c>
      <c r="T24" s="10">
        <f>16.94+217.88+176.23</f>
        <v>411.04999999999995</v>
      </c>
      <c r="U24" s="10">
        <f>13.88+121.53+252.46</f>
        <v>387.87</v>
      </c>
      <c r="V24" s="19">
        <f>229.24+16.06+205.68</f>
        <v>450.98</v>
      </c>
      <c r="W24" s="52">
        <f t="shared" si="3"/>
        <v>3986.2899999999995</v>
      </c>
      <c r="X24" s="75">
        <f t="shared" si="2"/>
        <v>27513.789999999994</v>
      </c>
    </row>
    <row r="25" spans="1:24" ht="15.75" customHeight="1" thickBot="1">
      <c r="A25" s="42" t="s">
        <v>53</v>
      </c>
      <c r="B25" s="36" t="s">
        <v>9</v>
      </c>
      <c r="C25" s="49">
        <v>13618.19</v>
      </c>
      <c r="D25" s="63">
        <v>26228.88</v>
      </c>
      <c r="E25" s="49">
        <v>33239.96</v>
      </c>
      <c r="F25" s="49">
        <v>36641.94</v>
      </c>
      <c r="G25" s="49">
        <v>36547.87</v>
      </c>
      <c r="H25" s="49">
        <v>32998.24</v>
      </c>
      <c r="I25" s="49">
        <v>28876.72</v>
      </c>
      <c r="J25" s="49">
        <v>33416.85</v>
      </c>
      <c r="K25" s="9">
        <f>7181.12-3465.6-500</f>
        <v>3215.52</v>
      </c>
      <c r="L25" s="10">
        <f>7245.61-3680.6</f>
        <v>3565.0099999999998</v>
      </c>
      <c r="M25" s="10">
        <f>7401.2-4007.25</f>
        <v>3393.95</v>
      </c>
      <c r="N25" s="10">
        <f>10611.14-7123.79</f>
        <v>3487.3499999999995</v>
      </c>
      <c r="O25" s="10">
        <f>6945.34-3553.2</f>
        <v>3392.1400000000003</v>
      </c>
      <c r="P25" s="10">
        <f>6963.46-3388.92</f>
        <v>3574.54</v>
      </c>
      <c r="Q25" s="10">
        <f>7017.26-3470.58</f>
        <v>3546.6800000000003</v>
      </c>
      <c r="R25" s="10">
        <f>6968.7-3554.87</f>
        <v>3413.83</v>
      </c>
      <c r="S25" s="10">
        <f>6448.3-3268.66</f>
        <v>3179.6400000000003</v>
      </c>
      <c r="T25" s="10">
        <f>5740.48-3501.46+1000</f>
        <v>3239.0199999999995</v>
      </c>
      <c r="U25" s="10">
        <f>6996.06-3480.96</f>
        <v>3515.1000000000004</v>
      </c>
      <c r="V25" s="19">
        <f>7185.55-3471.59-0.04-500</f>
        <v>3213.92</v>
      </c>
      <c r="W25" s="52">
        <f t="shared" si="3"/>
        <v>40736.69999999999</v>
      </c>
      <c r="X25" s="76">
        <f t="shared" si="2"/>
        <v>282305.35000000003</v>
      </c>
    </row>
    <row r="26" spans="1:24" ht="13.5" customHeight="1" thickBot="1">
      <c r="A26" s="42" t="s">
        <v>54</v>
      </c>
      <c r="B26" s="37" t="s">
        <v>3</v>
      </c>
      <c r="C26" s="50">
        <v>1673.18</v>
      </c>
      <c r="D26" s="64">
        <v>4212.13</v>
      </c>
      <c r="E26" s="50">
        <v>9974.78</v>
      </c>
      <c r="F26" s="50">
        <v>11084.68</v>
      </c>
      <c r="G26" s="50">
        <v>12012.26</v>
      </c>
      <c r="H26" s="50">
        <v>13002.24</v>
      </c>
      <c r="I26" s="50">
        <v>14381.42</v>
      </c>
      <c r="J26" s="50">
        <v>14384.53</v>
      </c>
      <c r="K26" s="11">
        <f>966.38+13.75+192.77</f>
        <v>1172.9</v>
      </c>
      <c r="L26" s="12">
        <f>1089.26+15.75+218.17</f>
        <v>1323.18</v>
      </c>
      <c r="M26" s="12">
        <f>944.72+14.04+185.98</f>
        <v>1144.74</v>
      </c>
      <c r="N26" s="12">
        <f>1108.5+16.84+223.07</f>
        <v>1348.4099999999999</v>
      </c>
      <c r="O26" s="12">
        <f>1047.6+15.49+205.2</f>
        <v>1268.29</v>
      </c>
      <c r="P26" s="12">
        <f>1020.36+15.46</f>
        <v>1035.82</v>
      </c>
      <c r="Q26" s="12">
        <f>891.5+13.09+173.38</f>
        <v>1077.97</v>
      </c>
      <c r="R26" s="12">
        <f>1206.6+18.41+235.87</f>
        <v>1460.88</v>
      </c>
      <c r="S26" s="12">
        <f>1052.2+5.21+205.01</f>
        <v>1262.42</v>
      </c>
      <c r="T26" s="12">
        <f>1089.5+5.19+204.75</f>
        <v>1299.44</v>
      </c>
      <c r="U26" s="12">
        <f>1053.9+5.19+204.75</f>
        <v>1263.8400000000001</v>
      </c>
      <c r="V26" s="21">
        <f>1053.9+5.19+204.75</f>
        <v>1263.8400000000001</v>
      </c>
      <c r="W26" s="52">
        <f t="shared" si="3"/>
        <v>14921.73</v>
      </c>
      <c r="X26" s="76">
        <f t="shared" si="2"/>
        <v>95646.95</v>
      </c>
    </row>
    <row r="27" spans="1:24" ht="13.5" customHeight="1" thickBot="1">
      <c r="A27" s="42"/>
      <c r="B27" s="45" t="s">
        <v>57</v>
      </c>
      <c r="C27" s="58"/>
      <c r="D27" s="65"/>
      <c r="E27" s="58"/>
      <c r="F27" s="58"/>
      <c r="G27" s="69">
        <f>G8*5%</f>
        <v>3254.934</v>
      </c>
      <c r="H27" s="69">
        <f>H8*5%</f>
        <v>3254.934</v>
      </c>
      <c r="I27" s="78">
        <f>I8*5%</f>
        <v>3254.9315</v>
      </c>
      <c r="J27" s="78">
        <f>J8*5%</f>
        <v>3254.679</v>
      </c>
      <c r="K27" s="70">
        <f>K8*5%</f>
        <v>271.1195</v>
      </c>
      <c r="L27" s="69">
        <f aca="true" t="shared" si="4" ref="L27:V27">L8*5%</f>
        <v>271.1195</v>
      </c>
      <c r="M27" s="70">
        <f t="shared" si="4"/>
        <v>271.1195</v>
      </c>
      <c r="N27" s="69">
        <f t="shared" si="4"/>
        <v>271.1195</v>
      </c>
      <c r="O27" s="70">
        <f t="shared" si="4"/>
        <v>271.1195</v>
      </c>
      <c r="P27" s="69">
        <f t="shared" si="4"/>
        <v>271.1195</v>
      </c>
      <c r="Q27" s="70">
        <f t="shared" si="4"/>
        <v>271.1195</v>
      </c>
      <c r="R27" s="69">
        <f t="shared" si="4"/>
        <v>271.1195</v>
      </c>
      <c r="S27" s="70">
        <f t="shared" si="4"/>
        <v>271.1195</v>
      </c>
      <c r="T27" s="69">
        <f t="shared" si="4"/>
        <v>271.1195</v>
      </c>
      <c r="U27" s="68">
        <f t="shared" si="4"/>
        <v>271.1195</v>
      </c>
      <c r="V27" s="68">
        <f t="shared" si="4"/>
        <v>271.1195</v>
      </c>
      <c r="W27" s="69">
        <f t="shared" si="3"/>
        <v>3253.4339999999993</v>
      </c>
      <c r="X27" s="77"/>
    </row>
    <row r="28" spans="1:24" ht="14.25" customHeight="1" thickBot="1">
      <c r="A28" s="42" t="s">
        <v>39</v>
      </c>
      <c r="B28" s="57" t="s">
        <v>48</v>
      </c>
      <c r="C28" s="58"/>
      <c r="D28" s="65"/>
      <c r="E28" s="58"/>
      <c r="F28" s="58"/>
      <c r="G28" s="58"/>
      <c r="H28" s="58"/>
      <c r="I28" s="58"/>
      <c r="J28" s="69">
        <f aca="true" t="shared" si="5" ref="J28:V28">SUM(J8+J9-J10)-J27</f>
        <v>-14180.718999999994</v>
      </c>
      <c r="K28" s="71">
        <f t="shared" si="5"/>
        <v>-1120.4994999999983</v>
      </c>
      <c r="L28" s="69">
        <f t="shared" si="5"/>
        <v>-1684.9895</v>
      </c>
      <c r="M28" s="69">
        <f t="shared" si="5"/>
        <v>-1840.5794999999991</v>
      </c>
      <c r="N28" s="71">
        <f t="shared" si="5"/>
        <v>-5050.519499999997</v>
      </c>
      <c r="O28" s="69">
        <f t="shared" si="5"/>
        <v>-1384.7194999999995</v>
      </c>
      <c r="P28" s="71">
        <f t="shared" si="5"/>
        <v>-1402.8394999999994</v>
      </c>
      <c r="Q28" s="69">
        <f t="shared" si="5"/>
        <v>-1440.5995000000005</v>
      </c>
      <c r="R28" s="71">
        <f t="shared" si="5"/>
        <v>-1679.9895</v>
      </c>
      <c r="S28" s="69">
        <f t="shared" si="5"/>
        <v>-1159.5895000000012</v>
      </c>
      <c r="T28" s="71">
        <f t="shared" si="5"/>
        <v>-1451.7694999999997</v>
      </c>
      <c r="U28" s="69">
        <f t="shared" si="5"/>
        <v>-1707.3495000000005</v>
      </c>
      <c r="V28" s="71">
        <f t="shared" si="5"/>
        <v>-1396.7995000000003</v>
      </c>
      <c r="W28" s="69">
        <f t="shared" si="3"/>
        <v>-21320.243999999995</v>
      </c>
      <c r="X28" s="77"/>
    </row>
    <row r="29" spans="1:24" ht="24" customHeight="1" thickBot="1">
      <c r="A29" s="79" t="s">
        <v>40</v>
      </c>
      <c r="B29" s="86" t="s">
        <v>23</v>
      </c>
      <c r="C29" s="87">
        <v>6477.18</v>
      </c>
      <c r="D29" s="82">
        <f>SUM(D8-D10)</f>
        <v>-21406.480000000003</v>
      </c>
      <c r="E29" s="81">
        <f>SUM(E8-E10)</f>
        <v>-7561.060000000005</v>
      </c>
      <c r="F29" s="81">
        <f>SUM(F8-F10)</f>
        <v>-14063.979999999996</v>
      </c>
      <c r="G29" s="88">
        <f>SUM(G8-G10)-G27</f>
        <v>-15641.394</v>
      </c>
      <c r="H29" s="88">
        <f>SUM(H8-H10)-H27</f>
        <v>-11986.623999999996</v>
      </c>
      <c r="I29" s="88">
        <f>SUM(I8-I10)-I27</f>
        <v>-10585.491500000006</v>
      </c>
      <c r="J29" s="88">
        <f>SUM(J8+J9-J10)-J27</f>
        <v>-14180.718999999994</v>
      </c>
      <c r="K29" s="89">
        <f>SUM(K8+K9-K10)-K27</f>
        <v>-1120.4994999999983</v>
      </c>
      <c r="L29" s="88">
        <f>SUM(L28+K29)</f>
        <v>-2805.488999999998</v>
      </c>
      <c r="M29" s="89">
        <f aca="true" t="shared" si="6" ref="M29:V29">SUM(M28+L29)</f>
        <v>-4646.068499999998</v>
      </c>
      <c r="N29" s="88">
        <f t="shared" si="6"/>
        <v>-9696.587999999994</v>
      </c>
      <c r="O29" s="89">
        <f t="shared" si="6"/>
        <v>-11081.307499999994</v>
      </c>
      <c r="P29" s="88">
        <f t="shared" si="6"/>
        <v>-12484.146999999994</v>
      </c>
      <c r="Q29" s="89">
        <f t="shared" si="6"/>
        <v>-13924.746499999994</v>
      </c>
      <c r="R29" s="88">
        <f t="shared" si="6"/>
        <v>-15604.735999999994</v>
      </c>
      <c r="S29" s="89">
        <f t="shared" si="6"/>
        <v>-16764.325499999995</v>
      </c>
      <c r="T29" s="88">
        <f t="shared" si="6"/>
        <v>-18216.094999999994</v>
      </c>
      <c r="U29" s="88">
        <f t="shared" si="6"/>
        <v>-19923.444499999994</v>
      </c>
      <c r="V29" s="90">
        <f t="shared" si="6"/>
        <v>-21320.243999999995</v>
      </c>
      <c r="W29" s="81"/>
      <c r="X29" s="81"/>
    </row>
    <row r="30" spans="1:24" ht="0.75" customHeight="1" thickBot="1">
      <c r="A30" s="42" t="s">
        <v>41</v>
      </c>
      <c r="B30" s="38" t="s">
        <v>24</v>
      </c>
      <c r="C30" s="45">
        <v>6477.18</v>
      </c>
      <c r="D30" s="20">
        <f>SUM(D8-D10,C30)</f>
        <v>-14929.300000000003</v>
      </c>
      <c r="E30" s="52">
        <f>SUM(E8-E10,D30)</f>
        <v>-22490.360000000008</v>
      </c>
      <c r="F30" s="52">
        <f>SUM(F8-F10,E30)</f>
        <v>-36554.340000000004</v>
      </c>
      <c r="G30" s="69">
        <f>SUM(G29+F30)</f>
        <v>-52195.734000000004</v>
      </c>
      <c r="H30" s="69">
        <f>SUM(H29+G30)</f>
        <v>-64182.358</v>
      </c>
      <c r="I30" s="69">
        <f>SUM(I29+H30)</f>
        <v>-74767.84950000001</v>
      </c>
      <c r="J30" s="69">
        <f>SUM(J29+I30)</f>
        <v>-88948.56850000001</v>
      </c>
      <c r="K30" s="69">
        <f>SUM(K29+J30)</f>
        <v>-90069.06800000001</v>
      </c>
      <c r="L30" s="69">
        <f aca="true" t="shared" si="7" ref="L30:U30">SUM(L28+K30)</f>
        <v>-91754.05750000001</v>
      </c>
      <c r="M30" s="71">
        <f>SUM(M28+L30)</f>
        <v>-93594.637</v>
      </c>
      <c r="N30" s="69">
        <f t="shared" si="7"/>
        <v>-98645.1565</v>
      </c>
      <c r="O30" s="71">
        <f t="shared" si="7"/>
        <v>-100029.876</v>
      </c>
      <c r="P30" s="69">
        <f t="shared" si="7"/>
        <v>-101432.7155</v>
      </c>
      <c r="Q30" s="71">
        <f t="shared" si="7"/>
        <v>-102873.315</v>
      </c>
      <c r="R30" s="69">
        <f t="shared" si="7"/>
        <v>-104553.3045</v>
      </c>
      <c r="S30" s="71">
        <f t="shared" si="7"/>
        <v>-105712.894</v>
      </c>
      <c r="T30" s="69">
        <f t="shared" si="7"/>
        <v>-107164.6635</v>
      </c>
      <c r="U30" s="72">
        <f t="shared" si="7"/>
        <v>-108872.01299999999</v>
      </c>
      <c r="V30" s="69">
        <f>SUM(V28+U30)</f>
        <v>-110268.81249999999</v>
      </c>
      <c r="W30" s="52"/>
      <c r="X30" s="30"/>
    </row>
    <row r="31" spans="1:24" ht="9.75" customHeight="1" hidden="1" thickBot="1">
      <c r="A31" s="42" t="s">
        <v>41</v>
      </c>
      <c r="B31" s="45" t="s">
        <v>7</v>
      </c>
      <c r="C31" s="45"/>
      <c r="D31" s="45"/>
      <c r="E31" s="59"/>
      <c r="F31" s="59"/>
      <c r="G31" s="59"/>
      <c r="H31" s="59"/>
      <c r="I31" s="59"/>
      <c r="J31" s="59"/>
      <c r="K31" s="13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22"/>
      <c r="W31" s="52"/>
      <c r="X31" s="26"/>
    </row>
    <row r="32" spans="1:24" ht="15" customHeight="1" hidden="1" thickBot="1">
      <c r="A32" s="42" t="s">
        <v>42</v>
      </c>
      <c r="B32" s="39" t="s">
        <v>25</v>
      </c>
      <c r="C32" s="46"/>
      <c r="D32" s="46"/>
      <c r="E32" s="60"/>
      <c r="F32" s="60"/>
      <c r="G32" s="60"/>
      <c r="H32" s="60"/>
      <c r="I32" s="60"/>
      <c r="J32" s="60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3"/>
      <c r="W32" s="55"/>
      <c r="X32" s="25"/>
    </row>
    <row r="33" spans="1:24" ht="24" customHeight="1" hidden="1" thickBot="1">
      <c r="A33" s="43" t="s">
        <v>43</v>
      </c>
      <c r="B33" s="40" t="s">
        <v>51</v>
      </c>
      <c r="C33" s="47"/>
      <c r="D33" s="47"/>
      <c r="E33" s="61"/>
      <c r="F33" s="61"/>
      <c r="G33" s="61"/>
      <c r="H33" s="61"/>
      <c r="I33" s="61"/>
      <c r="J33" s="61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8">
        <f>SUM(V29-V31)</f>
        <v>-21320.243999999995</v>
      </c>
      <c r="W33" s="56">
        <v>-2426.95</v>
      </c>
      <c r="X33" s="29"/>
    </row>
    <row r="34" spans="1:24" ht="36" customHeight="1" hidden="1" thickBot="1">
      <c r="A34" s="43" t="s">
        <v>46</v>
      </c>
      <c r="B34" s="40" t="s">
        <v>52</v>
      </c>
      <c r="C34" s="47"/>
      <c r="D34" s="47"/>
      <c r="E34" s="61"/>
      <c r="F34" s="61"/>
      <c r="G34" s="61"/>
      <c r="H34" s="61"/>
      <c r="I34" s="61"/>
      <c r="J34" s="61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8">
        <f>SUM(V30-V31)</f>
        <v>-110268.81249999999</v>
      </c>
      <c r="W34" s="56"/>
      <c r="X34" s="29">
        <v>-22204.15</v>
      </c>
    </row>
    <row r="35" ht="12.75" hidden="1"/>
    <row r="36" ht="12.75" hidden="1"/>
    <row r="37" ht="12.75" hidden="1"/>
    <row r="38" ht="12.75" hidden="1"/>
    <row r="39" ht="12.75">
      <c r="B39" t="s">
        <v>63</v>
      </c>
    </row>
    <row r="43" ht="12.75" customHeight="1"/>
    <row r="44" ht="12.75" customHeight="1"/>
  </sheetData>
  <sheetProtection/>
  <mergeCells count="5">
    <mergeCell ref="B4:X4"/>
    <mergeCell ref="B5:X5"/>
    <mergeCell ref="B3:X3"/>
    <mergeCell ref="B1:M1"/>
    <mergeCell ref="B2:V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2019-02-11T05:29:23Z</cp:lastPrinted>
  <dcterms:created xsi:type="dcterms:W3CDTF">2011-06-16T11:06:26Z</dcterms:created>
  <dcterms:modified xsi:type="dcterms:W3CDTF">2019-02-12T13:02:11Z</dcterms:modified>
  <cp:category/>
  <cp:version/>
  <cp:contentType/>
  <cp:contentStatus/>
</cp:coreProperties>
</file>