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<sst xmlns="http://schemas.openxmlformats.org/spreadsheetml/2006/main" count="70" uniqueCount="69">
  <si>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СПРАВКА</t>
  </si>
  <si>
    <t xml:space="preserve">Начислено  </t>
  </si>
  <si>
    <t>Расходы</t>
  </si>
  <si>
    <t>Услуги РИРЦ</t>
  </si>
  <si>
    <t>Вывоз ТБО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</si>
  <si>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</si>
  <si>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</si>
  <si>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</si>
  <si>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</si>
  <si>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</si>
  <si>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</si>
  <si>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</si>
  <si>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</si>
  <si>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</si>
  <si>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</si>
  <si>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</si>
  <si>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</si>
  <si>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</si>
  <si>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</si>
  <si>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</si>
  <si>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</si>
  <si>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</si>
  <si>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</si>
  <si>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</si>
  <si>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</si>
  <si>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</si>
  <si>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</si>
  <si>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</si>
  <si>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</si>
  <si>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</si>
  <si>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</si>
  <si>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</si>
  <si>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4.6</t>
  </si>
  <si>
    <t>4.7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</si>
  <si>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</si>
  <si>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</si>
  <si>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</si>
  <si>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</si>
  <si>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</si>
  <si>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</si>
  <si>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</si>
  <si>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</si>
  <si>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ул. Иванова д.6</t>
  </si>
  <si>
    <t>за 2009 г</t>
  </si>
  <si>
    <t>за 2010 г</t>
  </si>
  <si>
    <t>10</t>
  </si>
  <si>
    <t>Финансовый результат по дому с начала года</t>
  </si>
  <si>
    <t>Итого за 2011 г</t>
  </si>
  <si>
    <t>Результат за месяц</t>
  </si>
  <si>
    <t>Благоустройство территории</t>
  </si>
  <si>
    <t>4.12</t>
  </si>
  <si>
    <t>4.13</t>
  </si>
  <si>
    <t xml:space="preserve">Материалы </t>
  </si>
  <si>
    <t>4.14</t>
  </si>
  <si>
    <t>Дом по ул.Иванова д.6 вступил в ООО "Наш дом" с ноября 2009 года                  тариф 8,3 руб.</t>
  </si>
  <si>
    <t>Итого за 2012 г</t>
  </si>
  <si>
    <t>Итого за 2013 г</t>
  </si>
  <si>
    <t>Итого за 2014 г</t>
  </si>
  <si>
    <t>рентабельность 5%</t>
  </si>
  <si>
    <t>Итого за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</si>
  <si>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</si>
  <si>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</si>
  <si>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</si>
  <si>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</si>
  <si>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>Исполнитель  вед. экономист /Викторова Л.С./</t>
  </si>
  <si>
    <t>Итого за 2016 г</t>
  </si>
  <si>
    <t>Итого за 2017 г</t>
  </si>
  <si>
    <t>Итого за 2018 г</t>
  </si>
  <si>
    <t>Всего за 2009-2018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</si>
</sst>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37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0" fontId="23" fillId="0" borderId="26" xfId="0" applyFont="1" applyBorder="1" applyAlignment="1">
      <alignment horizontal="left" vertical="center" wrapText="1"/>
    </xf>
    <xf numFmtId="0" fontId="21" fillId="0" borderId="36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2" borderId="38" xfId="0" applyFont="1" applyFill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0" fontId="25" fillId="0" borderId="34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1" fillId="0" borderId="40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38" xfId="0" applyFont="1" applyBorder="1" applyAlignment="1">
      <alignment/>
    </xf>
    <xf numFmtId="0" fontId="20" fillId="2" borderId="38" xfId="0" applyFont="1" applyFill="1" applyBorder="1" applyAlignment="1">
      <alignment/>
    </xf>
    <xf numFmtId="49" fontId="25" fillId="0" borderId="27" xfId="0" applyNumberFormat="1" applyFont="1" applyBorder="1" applyAlignment="1">
      <alignment horizontal="right"/>
    </xf>
    <xf numFmtId="49" fontId="25" fillId="0" borderId="26" xfId="0" applyNumberFormat="1" applyFont="1" applyBorder="1" applyAlignment="1">
      <alignment horizontal="right"/>
    </xf>
    <xf numFmtId="0" fontId="21" fillId="0" borderId="42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0" fontId="21" fillId="0" borderId="45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26" fillId="0" borderId="34" xfId="0" applyFont="1" applyBorder="1" applyAlignment="1">
      <alignment wrapText="1"/>
    </xf>
    <xf numFmtId="0" fontId="26" fillId="0" borderId="43" xfId="0" applyFont="1" applyBorder="1" applyAlignment="1">
      <alignment wrapText="1"/>
    </xf>
    <xf numFmtId="2" fontId="21" fillId="0" borderId="26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49" fontId="22" fillId="0" borderId="35" xfId="0" applyNumberFormat="1" applyFont="1" applyBorder="1" applyAlignment="1">
      <alignment horizontal="center"/>
    </xf>
    <xf numFmtId="0" fontId="19" fillId="0" borderId="29" xfId="0" applyFont="1" applyBorder="1" applyAlignment="1">
      <alignment wrapText="1"/>
    </xf>
    <xf numFmtId="0" fontId="27" fillId="0" borderId="23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26" xfId="0" applyFont="1" applyBorder="1" applyAlignment="1">
      <alignment/>
    </xf>
    <xf numFmtId="0" fontId="22" fillId="0" borderId="0" xfId="0" applyFont="1" applyAlignment="1">
      <alignment/>
    </xf>
    <xf numFmtId="0" fontId="27" fillId="0" borderId="26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2" fontId="27" fillId="0" borderId="26" xfId="0" applyNumberFormat="1" applyFont="1" applyBorder="1" applyAlignment="1">
      <alignment/>
    </xf>
    <xf numFmtId="2" fontId="27" fillId="0" borderId="23" xfId="0" applyNumberFormat="1" applyFont="1" applyBorder="1" applyAlignment="1">
      <alignment/>
    </xf>
    <xf numFmtId="0" fontId="22" fillId="0" borderId="26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4">
      <selection activeCell="W18" sqref="W18"/>
    </sheetView>
  </sheetViews>
  <sheetFormatPr defaultColWidth="9.00390625" defaultRowHeight="12.75"/>
  <cols>
    <col min="1" max="1" width="4.625" style="34" customWidth="1"/>
    <col min="2" max="2" width="20.25390625" style="0" customWidth="1"/>
    <col min="3" max="3" width="7.25390625" style="0" hidden="1" customWidth="1"/>
    <col min="4" max="4" width="6.75390625" style="0" hidden="1" customWidth="1"/>
    <col min="5" max="5" width="8.00390625" style="0" hidden="1" customWidth="1"/>
    <col min="6" max="6" width="9.00390625" style="0" hidden="1" customWidth="1"/>
    <col min="7" max="7" width="7.75390625" style="0" hidden="1" customWidth="1"/>
    <col min="8" max="8" width="9.25390625" style="0" hidden="1" customWidth="1"/>
    <col min="9" max="9" width="9.625" style="0" hidden="1" customWidth="1"/>
    <col min="10" max="10" width="9.75390625" style="0" hidden="1" customWidth="1"/>
    <col min="11" max="11" width="9.625" style="0" hidden="1" customWidth="1"/>
    <col min="12" max="12" width="8.375" style="0" customWidth="1"/>
    <col min="13" max="13" width="8.00390625" style="0" customWidth="1"/>
    <col min="14" max="14" width="7.875" style="0" customWidth="1"/>
    <col min="15" max="15" width="8.375" style="0" customWidth="1"/>
    <col min="16" max="16" width="7.625" style="0" customWidth="1"/>
    <col min="17" max="17" width="8.25390625" style="0" customWidth="1"/>
    <col min="18" max="18" width="8.375" style="0" customWidth="1"/>
    <col min="19" max="19" width="8.125" style="0" customWidth="1"/>
    <col min="20" max="20" width="8.00390625" style="0" customWidth="1"/>
    <col min="21" max="22" width="7.875" style="0" customWidth="1"/>
    <col min="23" max="23" width="7.75390625" style="0" customWidth="1"/>
    <col min="24" max="24" width="9.375" style="0" customWidth="1"/>
    <col min="25" max="25" width="9.875" style="0" customWidth="1"/>
  </cols>
  <sheetData>
    <row r="1" spans="2:30" ht="12.75" customHeight="1">
      <c r="B1" s="93" t="s">
        <v>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93" t="s">
        <v>54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4"/>
      <c r="W2" s="4"/>
      <c r="X2" s="4"/>
      <c r="Y2" s="4"/>
      <c r="Z2" s="4"/>
      <c r="AA2" s="4"/>
      <c r="AB2" s="4"/>
      <c r="AC2" s="4"/>
      <c r="AD2" s="4"/>
    </row>
    <row r="3" spans="2:30" ht="12.75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3"/>
      <c r="AA3" s="3"/>
      <c r="AB3" s="3"/>
      <c r="AC3" s="3"/>
      <c r="AD3" s="3"/>
    </row>
    <row r="4" spans="2:30" ht="15" customHeight="1">
      <c r="B4" s="91" t="s">
        <v>10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2"/>
      <c r="AA4" s="2"/>
      <c r="AB4" s="2"/>
      <c r="AC4" s="2"/>
      <c r="AD4" s="2"/>
    </row>
    <row r="5" spans="2:30" ht="16.5" customHeight="1" thickBot="1">
      <c r="B5" s="91" t="s">
        <v>42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2"/>
      <c r="AA5" s="2"/>
      <c r="AB5" s="2"/>
      <c r="AC5" s="2"/>
      <c r="AD5" s="2"/>
    </row>
    <row r="6" spans="1:30" ht="45.75" customHeight="1" thickBot="1">
      <c r="A6" s="43" t="s">
        <v>27</v>
      </c>
      <c r="B6" s="35" t="s">
        <v>6</v>
      </c>
      <c r="C6" s="46" t="s">
        <v>43</v>
      </c>
      <c r="D6" s="51" t="s">
        <v>44</v>
      </c>
      <c r="E6" s="61" t="s">
        <v>47</v>
      </c>
      <c r="F6" s="61" t="s">
        <v>55</v>
      </c>
      <c r="G6" s="61" t="s">
        <v>56</v>
      </c>
      <c r="H6" s="61" t="s">
        <v>57</v>
      </c>
      <c r="I6" s="61" t="s">
        <v>59</v>
      </c>
      <c r="J6" s="61" t="s">
        <v>65</v>
      </c>
      <c r="K6" s="61" t="s">
        <v>66</v>
      </c>
      <c r="L6" s="6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  <c r="V6" s="5" t="s">
        <v>22</v>
      </c>
      <c r="W6" s="17" t="s">
        <v>21</v>
      </c>
      <c r="X6" s="61" t="s">
        <v>67</v>
      </c>
      <c r="Y6" s="24" t="s">
        <v>68</v>
      </c>
      <c r="Z6" s="1"/>
      <c r="AA6" s="1"/>
      <c r="AB6" s="1"/>
      <c r="AC6" s="1"/>
      <c r="AD6" s="1"/>
    </row>
    <row r="7" spans="1:25" ht="13.5" thickBot="1">
      <c r="A7" s="44" t="s">
        <v>28</v>
      </c>
      <c r="B7" s="36" t="s">
        <v>1</v>
      </c>
      <c r="C7" s="72">
        <v>4525.82</v>
      </c>
      <c r="D7" s="73">
        <v>27154.92</v>
      </c>
      <c r="E7" s="74">
        <v>27241.24</v>
      </c>
      <c r="F7" s="73">
        <v>27413.88</v>
      </c>
      <c r="G7" s="73">
        <v>27413.88</v>
      </c>
      <c r="H7" s="73">
        <v>27262.5</v>
      </c>
      <c r="I7" s="73">
        <v>27111.12</v>
      </c>
      <c r="J7" s="73">
        <v>27185.82</v>
      </c>
      <c r="K7" s="73">
        <v>26804.02</v>
      </c>
      <c r="L7" s="7">
        <v>2223.57</v>
      </c>
      <c r="M7" s="8">
        <v>2223.57</v>
      </c>
      <c r="N7" s="8">
        <v>2223.57</v>
      </c>
      <c r="O7" s="8">
        <v>2242.66</v>
      </c>
      <c r="P7" s="8">
        <v>2242.66</v>
      </c>
      <c r="Q7" s="8">
        <v>2242.66</v>
      </c>
      <c r="R7" s="8">
        <v>2242.66</v>
      </c>
      <c r="S7" s="8">
        <v>2242.66</v>
      </c>
      <c r="T7" s="8">
        <v>2242.66</v>
      </c>
      <c r="U7" s="8">
        <v>2242.66</v>
      </c>
      <c r="V7" s="8">
        <v>2242.66</v>
      </c>
      <c r="W7" s="18">
        <v>2242.66</v>
      </c>
      <c r="X7" s="62">
        <f>SUM(L7:W7)</f>
        <v>26854.65</v>
      </c>
      <c r="Y7" s="60">
        <f>SUM(C7:W7)</f>
        <v>248967.85000000003</v>
      </c>
    </row>
    <row r="8" spans="1:25" s="85" customFormat="1" ht="13.5" thickBot="1">
      <c r="A8" s="79" t="s">
        <v>29</v>
      </c>
      <c r="B8" s="80" t="s">
        <v>2</v>
      </c>
      <c r="C8" s="81">
        <v>2821.72</v>
      </c>
      <c r="D8" s="82">
        <f aca="true" t="shared" si="0" ref="D8:L8">SUM(D9:D18)</f>
        <v>24387.07</v>
      </c>
      <c r="E8" s="81">
        <f t="shared" si="0"/>
        <v>29094.07</v>
      </c>
      <c r="F8" s="82">
        <f t="shared" si="0"/>
        <v>21907.43</v>
      </c>
      <c r="G8" s="82">
        <f t="shared" si="0"/>
        <v>21848.54</v>
      </c>
      <c r="H8" s="82">
        <f t="shared" si="0"/>
        <v>23029.02</v>
      </c>
      <c r="I8" s="82">
        <f>SUM(I9:I18)</f>
        <v>23607.28</v>
      </c>
      <c r="J8" s="82">
        <f>SUM(J9:J18)</f>
        <v>22732.38</v>
      </c>
      <c r="K8" s="82">
        <f>SUM(K9:K18)</f>
        <v>26787.379999999997</v>
      </c>
      <c r="L8" s="83">
        <f t="shared" si="0"/>
        <v>1893.5</v>
      </c>
      <c r="M8" s="83">
        <f aca="true" t="shared" si="1" ref="M8:W8">SUM(M9:M18)</f>
        <v>1818.6</v>
      </c>
      <c r="N8" s="83">
        <f t="shared" si="1"/>
        <v>1763.9000000000003</v>
      </c>
      <c r="O8" s="83">
        <f t="shared" si="1"/>
        <v>1828</v>
      </c>
      <c r="P8" s="83">
        <f t="shared" si="1"/>
        <v>1931.12</v>
      </c>
      <c r="Q8" s="83">
        <f t="shared" si="1"/>
        <v>1786.2299999999998</v>
      </c>
      <c r="R8" s="83">
        <f t="shared" si="1"/>
        <v>1853.16</v>
      </c>
      <c r="S8" s="83">
        <f t="shared" si="1"/>
        <v>1830.1</v>
      </c>
      <c r="T8" s="83">
        <f t="shared" si="1"/>
        <v>1677.07</v>
      </c>
      <c r="U8" s="83">
        <f t="shared" si="1"/>
        <v>1764.03</v>
      </c>
      <c r="V8" s="83">
        <f t="shared" si="1"/>
        <v>1885.56</v>
      </c>
      <c r="W8" s="81">
        <f t="shared" si="1"/>
        <v>2163.2599999999998</v>
      </c>
      <c r="X8" s="82">
        <f>SUM(L8:W8)</f>
        <v>22194.53</v>
      </c>
      <c r="Y8" s="84">
        <f>SUM(C8:X8)</f>
        <v>240603.95000000004</v>
      </c>
    </row>
    <row r="9" spans="1:25" ht="16.5" customHeight="1" thickBot="1">
      <c r="A9" s="44" t="s">
        <v>30</v>
      </c>
      <c r="B9" s="37" t="s">
        <v>4</v>
      </c>
      <c r="C9" s="56"/>
      <c r="D9" s="57">
        <v>8026.33</v>
      </c>
      <c r="E9" s="69">
        <v>8205.12</v>
      </c>
      <c r="F9" s="57">
        <v>507.35</v>
      </c>
      <c r="G9" s="57">
        <v>666.17</v>
      </c>
      <c r="H9" s="57">
        <v>2658.57</v>
      </c>
      <c r="I9" s="57">
        <v>354.95</v>
      </c>
      <c r="J9" s="57">
        <v>422.78</v>
      </c>
      <c r="K9" s="57">
        <v>414.26</v>
      </c>
      <c r="L9" s="7">
        <v>24.75</v>
      </c>
      <c r="M9" s="8">
        <v>27.15</v>
      </c>
      <c r="N9" s="8">
        <v>19.28</v>
      </c>
      <c r="O9" s="8">
        <v>54.31</v>
      </c>
      <c r="P9" s="8">
        <v>50.75</v>
      </c>
      <c r="Q9" s="8">
        <v>52.12</v>
      </c>
      <c r="R9" s="8">
        <v>44.48</v>
      </c>
      <c r="S9" s="8">
        <v>56.23</v>
      </c>
      <c r="T9" s="8">
        <v>41.8</v>
      </c>
      <c r="U9" s="8">
        <v>33.92</v>
      </c>
      <c r="V9" s="8">
        <v>39.37</v>
      </c>
      <c r="W9" s="18">
        <v>36.19</v>
      </c>
      <c r="X9" s="63">
        <f aca="true" t="shared" si="2" ref="X9:X20">SUM(L9:W9)</f>
        <v>480.3500000000001</v>
      </c>
      <c r="Y9" s="66">
        <f>SUM(C9:W9)</f>
        <v>21735.87999999999</v>
      </c>
    </row>
    <row r="10" spans="1:25" ht="18.75" customHeight="1" thickBot="1">
      <c r="A10" s="44" t="s">
        <v>31</v>
      </c>
      <c r="B10" s="38" t="s">
        <v>63</v>
      </c>
      <c r="C10" s="58"/>
      <c r="D10" s="59">
        <v>7472.61</v>
      </c>
      <c r="E10" s="70">
        <v>2746.41</v>
      </c>
      <c r="F10" s="59">
        <f>87.68+2367.6</f>
        <v>2455.2799999999997</v>
      </c>
      <c r="G10" s="59">
        <v>1945.7</v>
      </c>
      <c r="H10" s="59">
        <v>1200</v>
      </c>
      <c r="I10" s="59">
        <v>1406.33</v>
      </c>
      <c r="J10" s="59">
        <v>1020.92</v>
      </c>
      <c r="K10" s="59">
        <v>4800</v>
      </c>
      <c r="L10" s="9"/>
      <c r="M10" s="10"/>
      <c r="N10" s="10"/>
      <c r="O10" s="10"/>
      <c r="P10" s="10">
        <v>142</v>
      </c>
      <c r="Q10" s="10"/>
      <c r="R10" s="10"/>
      <c r="S10" s="10"/>
      <c r="T10" s="10"/>
      <c r="U10" s="10"/>
      <c r="V10" s="10"/>
      <c r="W10" s="19"/>
      <c r="X10" s="63">
        <f t="shared" si="2"/>
        <v>142</v>
      </c>
      <c r="Y10" s="67">
        <f aca="true" t="shared" si="3" ref="Y10:Y18">SUM(C10:W10)</f>
        <v>23189.25</v>
      </c>
    </row>
    <row r="11" spans="1:25" ht="14.25" customHeight="1" thickBot="1">
      <c r="A11" s="44" t="s">
        <v>32</v>
      </c>
      <c r="B11" s="38" t="s">
        <v>52</v>
      </c>
      <c r="C11" s="58"/>
      <c r="D11" s="59">
        <v>100.55</v>
      </c>
      <c r="E11" s="70">
        <v>1826.48</v>
      </c>
      <c r="F11" s="59">
        <v>116.02</v>
      </c>
      <c r="G11" s="59">
        <v>0</v>
      </c>
      <c r="H11" s="59">
        <v>80.81</v>
      </c>
      <c r="I11" s="59">
        <v>970.23</v>
      </c>
      <c r="J11" s="59">
        <v>1007.77</v>
      </c>
      <c r="K11" s="59">
        <v>1570.38</v>
      </c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9">
        <v>200</v>
      </c>
      <c r="X11" s="63">
        <f t="shared" si="2"/>
        <v>200</v>
      </c>
      <c r="Y11" s="66">
        <f t="shared" si="3"/>
        <v>5872.240000000001</v>
      </c>
    </row>
    <row r="12" spans="1:25" ht="22.5" customHeight="1" thickBot="1">
      <c r="A12" s="44" t="s">
        <v>33</v>
      </c>
      <c r="B12" s="38" t="s">
        <v>49</v>
      </c>
      <c r="C12" s="58">
        <v>0</v>
      </c>
      <c r="D12" s="59">
        <v>0</v>
      </c>
      <c r="E12" s="70">
        <v>0</v>
      </c>
      <c r="F12" s="59">
        <v>256</v>
      </c>
      <c r="G12" s="59">
        <v>0</v>
      </c>
      <c r="H12" s="59">
        <v>6.3</v>
      </c>
      <c r="I12" s="59">
        <v>0</v>
      </c>
      <c r="J12" s="59">
        <v>51</v>
      </c>
      <c r="K12" s="59">
        <v>8</v>
      </c>
      <c r="L12" s="9">
        <v>14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9"/>
      <c r="X12" s="63">
        <f>SUM(L12:W12)</f>
        <v>14</v>
      </c>
      <c r="Y12" s="67">
        <f>SUM(C12:W12)</f>
        <v>335.3</v>
      </c>
    </row>
    <row r="13" spans="1:25" ht="21" customHeight="1" thickBot="1">
      <c r="A13" s="44" t="s">
        <v>34</v>
      </c>
      <c r="B13" s="38" t="s">
        <v>5</v>
      </c>
      <c r="C13" s="58"/>
      <c r="D13" s="59">
        <v>511.56</v>
      </c>
      <c r="E13" s="70">
        <v>32.93</v>
      </c>
      <c r="F13" s="59">
        <v>0</v>
      </c>
      <c r="G13" s="59">
        <v>0</v>
      </c>
      <c r="H13" s="59"/>
      <c r="I13" s="59">
        <v>0</v>
      </c>
      <c r="J13" s="59">
        <v>0</v>
      </c>
      <c r="K13" s="59">
        <v>0</v>
      </c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9"/>
      <c r="X13" s="63">
        <f t="shared" si="2"/>
        <v>0</v>
      </c>
      <c r="Y13" s="66">
        <f t="shared" si="3"/>
        <v>544.49</v>
      </c>
    </row>
    <row r="14" spans="1:25" ht="33.75" customHeight="1" thickBot="1">
      <c r="A14" s="44" t="s">
        <v>35</v>
      </c>
      <c r="B14" s="38" t="s">
        <v>60</v>
      </c>
      <c r="C14" s="58"/>
      <c r="D14" s="59">
        <v>371.31</v>
      </c>
      <c r="E14" s="70">
        <v>1329.67</v>
      </c>
      <c r="F14" s="59">
        <v>1684.44</v>
      </c>
      <c r="G14" s="59">
        <v>1489.52</v>
      </c>
      <c r="H14" s="59">
        <v>1114.55</v>
      </c>
      <c r="I14" s="59">
        <v>1308.19</v>
      </c>
      <c r="J14" s="59">
        <v>1550.53</v>
      </c>
      <c r="K14" s="59">
        <v>1389.35</v>
      </c>
      <c r="L14" s="9">
        <v>120.65</v>
      </c>
      <c r="M14" s="10">
        <v>110.68</v>
      </c>
      <c r="N14" s="10">
        <v>147.61</v>
      </c>
      <c r="O14" s="10">
        <v>116.09</v>
      </c>
      <c r="P14" s="10">
        <v>97.64</v>
      </c>
      <c r="Q14" s="10">
        <v>141.52</v>
      </c>
      <c r="R14" s="10">
        <v>115.12</v>
      </c>
      <c r="S14" s="10">
        <v>117.73</v>
      </c>
      <c r="T14" s="10">
        <v>96.76</v>
      </c>
      <c r="U14" s="10">
        <v>145.24</v>
      </c>
      <c r="V14" s="10">
        <v>128.41</v>
      </c>
      <c r="W14" s="19">
        <v>125.39</v>
      </c>
      <c r="X14" s="63">
        <f t="shared" si="2"/>
        <v>1462.8400000000004</v>
      </c>
      <c r="Y14" s="67">
        <f t="shared" si="3"/>
        <v>11700.400000000001</v>
      </c>
    </row>
    <row r="15" spans="1:25" ht="27.75" customHeight="1" thickBot="1">
      <c r="A15" s="44" t="s">
        <v>36</v>
      </c>
      <c r="B15" s="38" t="s">
        <v>61</v>
      </c>
      <c r="C15" s="58"/>
      <c r="D15" s="59">
        <v>646.45</v>
      </c>
      <c r="E15" s="70">
        <v>722.52</v>
      </c>
      <c r="F15" s="59">
        <v>218.22</v>
      </c>
      <c r="G15" s="59">
        <v>153.11</v>
      </c>
      <c r="H15" s="59">
        <v>335.09</v>
      </c>
      <c r="I15" s="59">
        <v>225.45</v>
      </c>
      <c r="J15" s="59">
        <v>215.16</v>
      </c>
      <c r="K15" s="59">
        <v>152.22</v>
      </c>
      <c r="L15" s="9">
        <v>11.92</v>
      </c>
      <c r="M15" s="10">
        <v>8.01</v>
      </c>
      <c r="N15" s="10">
        <v>5.68</v>
      </c>
      <c r="O15" s="10">
        <v>8.06</v>
      </c>
      <c r="P15" s="10">
        <v>7.48</v>
      </c>
      <c r="Q15" s="10">
        <v>8.92</v>
      </c>
      <c r="R15" s="10">
        <v>27.28</v>
      </c>
      <c r="S15" s="10">
        <v>6.98</v>
      </c>
      <c r="T15" s="10">
        <v>8.65</v>
      </c>
      <c r="U15" s="10">
        <v>7.49</v>
      </c>
      <c r="V15" s="10">
        <v>35.81</v>
      </c>
      <c r="W15" s="19">
        <v>11.38</v>
      </c>
      <c r="X15" s="63">
        <f t="shared" si="2"/>
        <v>147.66000000000003</v>
      </c>
      <c r="Y15" s="67">
        <f t="shared" si="3"/>
        <v>2815.88</v>
      </c>
    </row>
    <row r="16" spans="1:25" ht="34.5" customHeight="1" thickBot="1">
      <c r="A16" s="44" t="s">
        <v>50</v>
      </c>
      <c r="B16" s="38" t="s">
        <v>62</v>
      </c>
      <c r="C16" s="58"/>
      <c r="D16" s="59">
        <v>199.12</v>
      </c>
      <c r="E16" s="70">
        <v>1090.41</v>
      </c>
      <c r="F16" s="59">
        <v>1052.92</v>
      </c>
      <c r="G16" s="59">
        <v>1521.78</v>
      </c>
      <c r="H16" s="59">
        <v>1300.68</v>
      </c>
      <c r="I16" s="59">
        <v>1686.38</v>
      </c>
      <c r="J16" s="59">
        <v>1611.1</v>
      </c>
      <c r="K16" s="59">
        <v>1497.22</v>
      </c>
      <c r="L16" s="9">
        <f>5.97+42.68+65.94</f>
        <v>114.59</v>
      </c>
      <c r="M16" s="10">
        <f>62.6+6.54+57.74</f>
        <v>126.88</v>
      </c>
      <c r="N16" s="10">
        <f>63.41+6.48+62.67</f>
        <v>132.56</v>
      </c>
      <c r="O16" s="10">
        <f>67.37+6.63+49.24</f>
        <v>123.24000000000001</v>
      </c>
      <c r="P16" s="10">
        <f>81.68+5.95+38.42</f>
        <v>126.05000000000001</v>
      </c>
      <c r="Q16" s="10">
        <f>65.6+5.58+36.67</f>
        <v>107.85</v>
      </c>
      <c r="R16" s="10">
        <f>6.28+42.61+82.76</f>
        <v>131.65</v>
      </c>
      <c r="S16" s="10">
        <f>6.67+64.75+64.18</f>
        <v>135.60000000000002</v>
      </c>
      <c r="T16" s="10">
        <f>74.77+5.25+50.08</f>
        <v>130.1</v>
      </c>
      <c r="U16" s="10">
        <f>7.01+90.11+72.89</f>
        <v>170.01</v>
      </c>
      <c r="V16" s="10">
        <f>5.74+50.26+104.42</f>
        <v>160.42000000000002</v>
      </c>
      <c r="W16" s="19">
        <f>94.81+6.64+85.07</f>
        <v>186.51999999999998</v>
      </c>
      <c r="X16" s="63">
        <f t="shared" si="2"/>
        <v>1645.47</v>
      </c>
      <c r="Y16" s="66">
        <f t="shared" si="3"/>
        <v>11605.08</v>
      </c>
    </row>
    <row r="17" spans="1:25" ht="13.5" customHeight="1" thickBot="1">
      <c r="A17" s="44" t="s">
        <v>51</v>
      </c>
      <c r="B17" s="38" t="s">
        <v>9</v>
      </c>
      <c r="C17" s="58"/>
      <c r="D17" s="59">
        <v>6009.81</v>
      </c>
      <c r="E17" s="70">
        <v>11234.25</v>
      </c>
      <c r="F17" s="59">
        <v>14430.03</v>
      </c>
      <c r="G17" s="59">
        <v>15037.11</v>
      </c>
      <c r="H17" s="59">
        <v>15302.63</v>
      </c>
      <c r="I17" s="59">
        <v>16632.03</v>
      </c>
      <c r="J17" s="59">
        <v>15827.5</v>
      </c>
      <c r="K17" s="59">
        <v>15941.55</v>
      </c>
      <c r="L17" s="9">
        <f>1893.5-369.87</f>
        <v>1523.63</v>
      </c>
      <c r="M17" s="10">
        <f>1818.6-356.68</f>
        <v>1461.9199999999998</v>
      </c>
      <c r="N17" s="10">
        <f>1763.9-372.14</f>
        <v>1391.7600000000002</v>
      </c>
      <c r="O17" s="10">
        <f>1828-385.66</f>
        <v>1442.34</v>
      </c>
      <c r="P17" s="10">
        <f>1931.12-528.15</f>
        <v>1402.9699999999998</v>
      </c>
      <c r="Q17" s="10">
        <f>1786.23-392.5</f>
        <v>1393.73</v>
      </c>
      <c r="R17" s="10">
        <f>1853.16-386.26</f>
        <v>1466.9</v>
      </c>
      <c r="S17" s="10">
        <f>1830.1-418.18</f>
        <v>1411.9199999999998</v>
      </c>
      <c r="T17" s="10">
        <f>1677.07-361.99</f>
        <v>1315.08</v>
      </c>
      <c r="U17" s="10">
        <f>1764.03-424.39</f>
        <v>1339.6399999999999</v>
      </c>
      <c r="V17" s="10">
        <f>1885.56-431.74</f>
        <v>1453.82</v>
      </c>
      <c r="W17" s="19">
        <f>2163.27-627.21-0.01</f>
        <v>1536.05</v>
      </c>
      <c r="X17" s="63">
        <f t="shared" si="2"/>
        <v>17139.76</v>
      </c>
      <c r="Y17" s="67">
        <f t="shared" si="3"/>
        <v>127554.67</v>
      </c>
    </row>
    <row r="18" spans="1:25" ht="14.25" customHeight="1" thickBot="1">
      <c r="A18" s="44" t="s">
        <v>53</v>
      </c>
      <c r="B18" s="39" t="s">
        <v>3</v>
      </c>
      <c r="C18" s="47"/>
      <c r="D18" s="52">
        <v>1049.33</v>
      </c>
      <c r="E18" s="71">
        <v>1906.28</v>
      </c>
      <c r="F18" s="52">
        <v>1187.17</v>
      </c>
      <c r="G18" s="52">
        <v>1035.15</v>
      </c>
      <c r="H18" s="52">
        <v>1030.39</v>
      </c>
      <c r="I18" s="52">
        <v>1023.72</v>
      </c>
      <c r="J18" s="52">
        <v>1025.62</v>
      </c>
      <c r="K18" s="52">
        <v>1014.4</v>
      </c>
      <c r="L18" s="11">
        <v>83.96</v>
      </c>
      <c r="M18" s="12">
        <v>83.96</v>
      </c>
      <c r="N18" s="12">
        <v>67.01</v>
      </c>
      <c r="O18" s="12">
        <v>83.96</v>
      </c>
      <c r="P18" s="12">
        <f>104.23</f>
        <v>104.23</v>
      </c>
      <c r="Q18" s="12">
        <v>82.09</v>
      </c>
      <c r="R18" s="12">
        <v>67.73</v>
      </c>
      <c r="S18" s="12">
        <v>101.64</v>
      </c>
      <c r="T18" s="12">
        <v>84.68</v>
      </c>
      <c r="U18" s="12">
        <v>67.73</v>
      </c>
      <c r="V18" s="12">
        <v>67.73</v>
      </c>
      <c r="W18" s="21">
        <v>67.73</v>
      </c>
      <c r="X18" s="63">
        <f t="shared" si="2"/>
        <v>962.45</v>
      </c>
      <c r="Y18" s="66">
        <f t="shared" si="3"/>
        <v>10234.509999999995</v>
      </c>
    </row>
    <row r="19" spans="1:25" ht="17.25" customHeight="1" thickBot="1">
      <c r="A19" s="44"/>
      <c r="B19" s="41" t="s">
        <v>58</v>
      </c>
      <c r="C19" s="49"/>
      <c r="D19" s="54"/>
      <c r="E19" s="49"/>
      <c r="F19" s="54"/>
      <c r="G19" s="54"/>
      <c r="H19" s="75">
        <f>H7*5%</f>
        <v>1363.125</v>
      </c>
      <c r="I19" s="75">
        <f>I7*5%</f>
        <v>1355.556</v>
      </c>
      <c r="J19" s="78">
        <f>J7*5%</f>
        <v>1359.2910000000002</v>
      </c>
      <c r="K19" s="78">
        <f>K7*5%</f>
        <v>1340.201</v>
      </c>
      <c r="L19" s="76">
        <f>L7*5%</f>
        <v>111.17850000000001</v>
      </c>
      <c r="M19" s="75">
        <f aca="true" t="shared" si="4" ref="M19:W19">M7*5%</f>
        <v>111.17850000000001</v>
      </c>
      <c r="N19" s="76">
        <f t="shared" si="4"/>
        <v>111.17850000000001</v>
      </c>
      <c r="O19" s="75">
        <f t="shared" si="4"/>
        <v>112.133</v>
      </c>
      <c r="P19" s="76">
        <f t="shared" si="4"/>
        <v>112.133</v>
      </c>
      <c r="Q19" s="75">
        <f t="shared" si="4"/>
        <v>112.133</v>
      </c>
      <c r="R19" s="76">
        <f t="shared" si="4"/>
        <v>112.133</v>
      </c>
      <c r="S19" s="75">
        <f t="shared" si="4"/>
        <v>112.133</v>
      </c>
      <c r="T19" s="76">
        <f t="shared" si="4"/>
        <v>112.133</v>
      </c>
      <c r="U19" s="75">
        <f t="shared" si="4"/>
        <v>112.133</v>
      </c>
      <c r="V19" s="76">
        <f t="shared" si="4"/>
        <v>112.133</v>
      </c>
      <c r="W19" s="75">
        <f t="shared" si="4"/>
        <v>112.133</v>
      </c>
      <c r="X19" s="75">
        <f t="shared" si="2"/>
        <v>1342.7325000000003</v>
      </c>
      <c r="Y19" s="67"/>
    </row>
    <row r="20" spans="1:25" ht="18" customHeight="1" thickBot="1">
      <c r="A20" s="44" t="s">
        <v>37</v>
      </c>
      <c r="B20" s="41" t="s">
        <v>48</v>
      </c>
      <c r="C20" s="49"/>
      <c r="D20" s="54"/>
      <c r="E20" s="20"/>
      <c r="F20" s="63"/>
      <c r="G20" s="63"/>
      <c r="H20" s="63"/>
      <c r="I20" s="63"/>
      <c r="J20" s="63"/>
      <c r="K20" s="75">
        <f aca="true" t="shared" si="5" ref="K20:W20">SUM(K7-K8)-K19</f>
        <v>-1323.560999999997</v>
      </c>
      <c r="L20" s="77">
        <f t="shared" si="5"/>
        <v>218.89150000000015</v>
      </c>
      <c r="M20" s="75">
        <f t="shared" si="5"/>
        <v>293.79150000000027</v>
      </c>
      <c r="N20" s="77">
        <f t="shared" si="5"/>
        <v>348.49149999999986</v>
      </c>
      <c r="O20" s="75">
        <f t="shared" si="5"/>
        <v>302.5269999999999</v>
      </c>
      <c r="P20" s="77">
        <f t="shared" si="5"/>
        <v>199.40699999999998</v>
      </c>
      <c r="Q20" s="75">
        <f t="shared" si="5"/>
        <v>344.2970000000001</v>
      </c>
      <c r="R20" s="77">
        <f t="shared" si="5"/>
        <v>277.3669999999998</v>
      </c>
      <c r="S20" s="75">
        <f t="shared" si="5"/>
        <v>300.42699999999996</v>
      </c>
      <c r="T20" s="77">
        <f t="shared" si="5"/>
        <v>453.45699999999994</v>
      </c>
      <c r="U20" s="75">
        <f t="shared" si="5"/>
        <v>366.4969999999999</v>
      </c>
      <c r="V20" s="77">
        <f t="shared" si="5"/>
        <v>244.96699999999993</v>
      </c>
      <c r="W20" s="75">
        <f t="shared" si="5"/>
        <v>-32.732999999999905</v>
      </c>
      <c r="X20" s="75">
        <f t="shared" si="2"/>
        <v>3317.3875</v>
      </c>
      <c r="Y20" s="66"/>
    </row>
    <row r="21" spans="1:25" ht="26.25" customHeight="1" thickBot="1">
      <c r="A21" s="79" t="s">
        <v>38</v>
      </c>
      <c r="B21" s="86" t="s">
        <v>23</v>
      </c>
      <c r="C21" s="87">
        <v>1704.1</v>
      </c>
      <c r="D21" s="86">
        <v>3655.97</v>
      </c>
      <c r="E21" s="81">
        <f>SUM(E7-E8)</f>
        <v>-1852.829999999998</v>
      </c>
      <c r="F21" s="82">
        <f>SUM(F7-F8)</f>
        <v>5506.450000000001</v>
      </c>
      <c r="G21" s="82">
        <f>SUM(G7-G8)</f>
        <v>5565.34</v>
      </c>
      <c r="H21" s="88">
        <f>SUM(H7-H8)-H19</f>
        <v>2870.3549999999996</v>
      </c>
      <c r="I21" s="88">
        <f>SUM(I7-I8)-I19</f>
        <v>2148.284</v>
      </c>
      <c r="J21" s="88">
        <f>SUM(J7-J8)-J19</f>
        <v>3094.1489999999985</v>
      </c>
      <c r="K21" s="88">
        <f>SUM(K7-K8)-K19</f>
        <v>-1323.560999999997</v>
      </c>
      <c r="L21" s="89">
        <f>SUM(L7-L8)-L19</f>
        <v>218.89150000000015</v>
      </c>
      <c r="M21" s="88">
        <f>SUM(M20+L21)</f>
        <v>512.6830000000004</v>
      </c>
      <c r="N21" s="89">
        <f aca="true" t="shared" si="6" ref="N21:W21">SUM(N20+M21)</f>
        <v>861.1745000000003</v>
      </c>
      <c r="O21" s="88">
        <f t="shared" si="6"/>
        <v>1163.7015000000001</v>
      </c>
      <c r="P21" s="89">
        <f t="shared" si="6"/>
        <v>1363.1085</v>
      </c>
      <c r="Q21" s="88">
        <f t="shared" si="6"/>
        <v>1707.4055</v>
      </c>
      <c r="R21" s="89">
        <f t="shared" si="6"/>
        <v>1984.7724999999998</v>
      </c>
      <c r="S21" s="88">
        <f t="shared" si="6"/>
        <v>2285.1994999999997</v>
      </c>
      <c r="T21" s="89">
        <f t="shared" si="6"/>
        <v>2738.6564999999996</v>
      </c>
      <c r="U21" s="88">
        <f t="shared" si="6"/>
        <v>3105.1534999999994</v>
      </c>
      <c r="V21" s="89">
        <f t="shared" si="6"/>
        <v>3350.1204999999995</v>
      </c>
      <c r="W21" s="88">
        <f t="shared" si="6"/>
        <v>3317.3875</v>
      </c>
      <c r="X21" s="82"/>
      <c r="Y21" s="90"/>
    </row>
    <row r="22" spans="1:25" ht="27.75" customHeight="1" hidden="1" thickBot="1">
      <c r="A22" s="44" t="s">
        <v>39</v>
      </c>
      <c r="B22" s="40" t="s">
        <v>24</v>
      </c>
      <c r="C22" s="68">
        <v>1704.1</v>
      </c>
      <c r="D22" s="53">
        <v>5360.07</v>
      </c>
      <c r="E22" s="20">
        <f>SUM(E7-E8,D22)</f>
        <v>3507.2400000000016</v>
      </c>
      <c r="F22" s="63">
        <f>SUM(F7-F8,E22)</f>
        <v>9013.690000000002</v>
      </c>
      <c r="G22" s="63">
        <f>SUM(G7-G8,F22)</f>
        <v>14579.030000000002</v>
      </c>
      <c r="H22" s="75">
        <f>SUM(H21+G22)</f>
        <v>17449.385000000002</v>
      </c>
      <c r="I22" s="75">
        <f>SUM(I21+H22)</f>
        <v>19597.669</v>
      </c>
      <c r="J22" s="75">
        <f>SUM(J21+I22)</f>
        <v>22691.818</v>
      </c>
      <c r="K22" s="75">
        <f>SUM(K21+J22)</f>
        <v>21368.257</v>
      </c>
      <c r="L22" s="75">
        <f>SUM(L21+K22)</f>
        <v>21587.148500000003</v>
      </c>
      <c r="M22" s="75">
        <f>SUM(M20+L22)</f>
        <v>21880.940000000002</v>
      </c>
      <c r="N22" s="77">
        <f aca="true" t="shared" si="7" ref="N22:V22">SUM(N20+M22)</f>
        <v>22229.431500000002</v>
      </c>
      <c r="O22" s="75">
        <f t="shared" si="7"/>
        <v>22531.9585</v>
      </c>
      <c r="P22" s="77">
        <f t="shared" si="7"/>
        <v>22731.3655</v>
      </c>
      <c r="Q22" s="75">
        <f t="shared" si="7"/>
        <v>23075.6625</v>
      </c>
      <c r="R22" s="77">
        <f t="shared" si="7"/>
        <v>23353.029499999997</v>
      </c>
      <c r="S22" s="75">
        <f t="shared" si="7"/>
        <v>23653.456499999997</v>
      </c>
      <c r="T22" s="77">
        <f t="shared" si="7"/>
        <v>24106.913499999995</v>
      </c>
      <c r="U22" s="75">
        <f t="shared" si="7"/>
        <v>24473.410499999994</v>
      </c>
      <c r="V22" s="77">
        <f t="shared" si="7"/>
        <v>24718.377499999995</v>
      </c>
      <c r="W22" s="75">
        <f>SUM(W20+V22)</f>
        <v>24685.644499999995</v>
      </c>
      <c r="X22" s="63"/>
      <c r="Y22" s="33"/>
    </row>
    <row r="23" spans="1:25" ht="23.25" hidden="1" thickBot="1">
      <c r="A23" s="44" t="s">
        <v>39</v>
      </c>
      <c r="B23" s="53" t="s">
        <v>7</v>
      </c>
      <c r="C23" s="48"/>
      <c r="D23" s="53"/>
      <c r="E23" s="53"/>
      <c r="F23" s="48"/>
      <c r="G23" s="48"/>
      <c r="H23" s="48"/>
      <c r="I23" s="48"/>
      <c r="J23" s="48"/>
      <c r="K23" s="48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2"/>
      <c r="X23" s="63"/>
      <c r="Y23" s="26"/>
    </row>
    <row r="24" spans="1:25" ht="15" customHeight="1" hidden="1" thickBot="1">
      <c r="A24" s="44" t="s">
        <v>40</v>
      </c>
      <c r="B24" s="41" t="s">
        <v>25</v>
      </c>
      <c r="C24" s="49"/>
      <c r="D24" s="54"/>
      <c r="E24" s="54"/>
      <c r="F24" s="49"/>
      <c r="G24" s="49"/>
      <c r="H24" s="49"/>
      <c r="I24" s="49"/>
      <c r="J24" s="49"/>
      <c r="K24" s="49"/>
      <c r="L24" s="15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3"/>
      <c r="X24" s="64"/>
      <c r="Y24" s="25"/>
    </row>
    <row r="25" spans="1:25" ht="0.75" customHeight="1" hidden="1" thickBot="1">
      <c r="A25" s="45" t="s">
        <v>41</v>
      </c>
      <c r="B25" s="42" t="s">
        <v>46</v>
      </c>
      <c r="C25" s="50"/>
      <c r="D25" s="55"/>
      <c r="E25" s="55"/>
      <c r="F25" s="50"/>
      <c r="G25" s="50"/>
      <c r="H25" s="50"/>
      <c r="I25" s="50"/>
      <c r="J25" s="50"/>
      <c r="K25" s="5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1">
        <f>SUM(W21-W23)</f>
        <v>3317.3875</v>
      </c>
      <c r="X25" s="65"/>
      <c r="Y25" s="32"/>
    </row>
    <row r="26" spans="1:25" ht="24" customHeight="1" hidden="1" thickBot="1">
      <c r="A26" s="45" t="s">
        <v>45</v>
      </c>
      <c r="B26" s="42" t="s">
        <v>26</v>
      </c>
      <c r="C26" s="50"/>
      <c r="D26" s="55"/>
      <c r="E26" s="55"/>
      <c r="F26" s="50"/>
      <c r="G26" s="50"/>
      <c r="H26" s="50"/>
      <c r="I26" s="50"/>
      <c r="J26" s="50"/>
      <c r="K26" s="5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>
        <f>SUM(W22-W23)</f>
        <v>24685.644499999995</v>
      </c>
      <c r="X26" s="65"/>
      <c r="Y26" s="32"/>
    </row>
    <row r="27" spans="3:25" ht="12.75" customHeight="1" hidden="1"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/>
    </row>
    <row r="29" ht="0.75" customHeight="1"/>
    <row r="30" ht="12.75" hidden="1"/>
    <row r="31" ht="12.75" hidden="1"/>
    <row r="32" ht="12.75">
      <c r="B32" t="s">
        <v>64</v>
      </c>
    </row>
    <row r="36" ht="12.75" customHeight="1"/>
    <row r="37" ht="12.75" customHeight="1"/>
  </sheetData>
  <sheetProtection/>
  <mergeCells count="5">
    <mergeCell ref="B4:Y4"/>
    <mergeCell ref="B5:Y5"/>
    <mergeCell ref="B3:Y3"/>
    <mergeCell ref="B1:N1"/>
    <mergeCell ref="B2:U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2019-02-11T05:32:26Z</cp:lastPrinted>
  <dcterms:created xsi:type="dcterms:W3CDTF">2011-06-16T11:06:26Z</dcterms:created>
  <dcterms:modified xsi:type="dcterms:W3CDTF">2019-02-12T13:02:22Z</dcterms:modified>
  <cp:category/>
  <cp:version/>
  <cp:contentType/>
  <cp:contentStatus/>
</cp:coreProperties>
</file>