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<sst xmlns="http://schemas.openxmlformats.org/spreadsheetml/2006/main" count="77" uniqueCount="77">
  <si>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</si>
  <si>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</si>
  <si>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</si>
  <si>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</si>
  <si>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</si>
  <si>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</si>
  <si>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</si>
  <si>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</si>
  <si>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</si>
  <si>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</si>
  <si>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</si>
  <si>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</si>
  <si>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</si>
  <si>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</si>
  <si>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</si>
  <si>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</si>
  <si>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</si>
  <si>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</si>
  <si>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</si>
  <si>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</si>
  <si>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</si>
  <si>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</si>
  <si>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</si>
  <si>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</si>
  <si>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</si>
  <si>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</si>
  <si>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</si>
  <si>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</si>
  <si>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</si>
  <si>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</si>
  <si>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</si>
  <si>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</si>
  <si>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</si>
  <si>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</si>
  <si>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</si>
  <si>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</si>
  <si>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</si>
  <si>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</si>
  <si>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</si>
  <si>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</si>
  <si>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</si>
  <si>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</si>
  <si>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</si>
  <si>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</si>
  <si>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</si>
  <si>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</si>
  <si>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Комсомольская д.16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</si>
  <si>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</si>
  <si>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</si>
  <si>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</si>
  <si>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</si>
  <si>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</si>
  <si>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</si>
  <si>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</si>
  <si>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</si>
  <si>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</si>
  <si>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</si>
  <si>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</si>
  <si>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</si>
  <si>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</si>
  <si>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</si>
  <si>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</si>
  <si>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</si>
  <si>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</si>
  <si>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</si>
  <si>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</si>
  <si>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</si>
  <si>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</si>
  <si>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Дом по ул.Комсомольской д.16 вступил в ООО "Наш дом" с февраля 2010 года                                  тариф 10,2 руб</t>
  </si>
  <si>
    <t>Установка двери</t>
  </si>
  <si>
    <t>Итого за 2016 г</t>
  </si>
  <si>
    <t>Итого за 2017 г</t>
  </si>
  <si>
    <t>Начислено СОИД</t>
  </si>
  <si>
    <t>Электроэнергия СОИД</t>
  </si>
  <si>
    <t>Дератизация</t>
  </si>
  <si>
    <t>Итого за 2018 г</t>
  </si>
  <si>
    <t>Всего за 2010-2018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</si>
</sst>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3" xfId="0" applyFont="1" applyBorder="1" applyAlignment="1">
      <alignment/>
    </xf>
    <xf numFmtId="2" fontId="25" fillId="0" borderId="27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2" fontId="21" fillId="0" borderId="36" xfId="0" applyNumberFormat="1" applyFont="1" applyBorder="1" applyAlignment="1">
      <alignment horizontal="right" wrapText="1"/>
    </xf>
    <xf numFmtId="0" fontId="25" fillId="0" borderId="28" xfId="0" applyFont="1" applyBorder="1" applyAlignment="1">
      <alignment/>
    </xf>
    <xf numFmtId="0" fontId="26" fillId="0" borderId="33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27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7" xfId="0" applyFont="1" applyBorder="1" applyAlignment="1">
      <alignment/>
    </xf>
    <xf numFmtId="0" fontId="22" fillId="0" borderId="0" xfId="0" applyFont="1" applyAlignment="1">
      <alignment/>
    </xf>
    <xf numFmtId="0" fontId="27" fillId="0" borderId="28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2" fontId="27" fillId="0" borderId="27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A7">
      <selection activeCell="V23" sqref="V23"/>
    </sheetView>
  </sheetViews>
  <sheetFormatPr defaultColWidth="9.00390625" defaultRowHeight="12.75"/>
  <cols>
    <col min="1" max="1" width="3.00390625" style="30" customWidth="1"/>
    <col min="2" max="2" width="20.625" style="0" customWidth="1"/>
    <col min="3" max="3" width="7.875" style="0" hidden="1" customWidth="1"/>
    <col min="4" max="4" width="8.00390625" style="0" hidden="1" customWidth="1"/>
    <col min="5" max="5" width="9.375" style="0" hidden="1" customWidth="1"/>
    <col min="6" max="6" width="9.625" style="0" hidden="1" customWidth="1"/>
    <col min="7" max="7" width="9.125" style="0" hidden="1" customWidth="1"/>
    <col min="8" max="9" width="0.12890625" style="0" hidden="1" customWidth="1"/>
    <col min="10" max="10" width="9.875" style="0" hidden="1" customWidth="1"/>
    <col min="11" max="11" width="8.25390625" style="0" customWidth="1"/>
    <col min="12" max="12" width="9.00390625" style="0" customWidth="1"/>
    <col min="13" max="13" width="8.25390625" style="0" customWidth="1"/>
    <col min="14" max="14" width="8.375" style="0" customWidth="1"/>
    <col min="15" max="15" width="7.875" style="0" customWidth="1"/>
    <col min="16" max="16" width="8.75390625" style="0" customWidth="1"/>
    <col min="17" max="17" width="8.625" style="0" customWidth="1"/>
    <col min="18" max="18" width="9.00390625" style="0" customWidth="1"/>
    <col min="19" max="19" width="8.875" style="0" customWidth="1"/>
    <col min="20" max="20" width="8.625" style="0" customWidth="1"/>
    <col min="21" max="23" width="9.00390625" style="0" customWidth="1"/>
    <col min="24" max="24" width="9.375" style="0" customWidth="1"/>
  </cols>
  <sheetData>
    <row r="1" spans="2:29" ht="12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3" t="s">
        <v>68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2" customHeight="1">
      <c r="B4" s="91" t="s">
        <v>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2.75" customHeight="1" thickBot="1"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1:29" ht="36" customHeight="1" thickBot="1">
      <c r="A6" s="40" t="s">
        <v>27</v>
      </c>
      <c r="B6" s="31" t="s">
        <v>6</v>
      </c>
      <c r="C6" s="43" t="s">
        <v>47</v>
      </c>
      <c r="D6" s="67" t="s">
        <v>50</v>
      </c>
      <c r="E6" s="53" t="s">
        <v>54</v>
      </c>
      <c r="F6" s="53" t="s">
        <v>58</v>
      </c>
      <c r="G6" s="53" t="s">
        <v>59</v>
      </c>
      <c r="H6" s="53" t="s">
        <v>62</v>
      </c>
      <c r="I6" s="53" t="s">
        <v>70</v>
      </c>
      <c r="J6" s="53" t="s">
        <v>71</v>
      </c>
      <c r="K6" s="6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22</v>
      </c>
      <c r="V6" s="17" t="s">
        <v>21</v>
      </c>
      <c r="W6" s="53" t="s">
        <v>75</v>
      </c>
      <c r="X6" s="50" t="s">
        <v>76</v>
      </c>
      <c r="Y6" s="1"/>
      <c r="Z6" s="1"/>
      <c r="AA6" s="1"/>
      <c r="AB6" s="1"/>
      <c r="AC6" s="1"/>
    </row>
    <row r="7" spans="1:24" ht="13.5" thickBot="1">
      <c r="A7" s="41" t="s">
        <v>28</v>
      </c>
      <c r="B7" s="32" t="s">
        <v>1</v>
      </c>
      <c r="C7" s="63">
        <v>72165.72</v>
      </c>
      <c r="D7" s="68">
        <v>78740.04</v>
      </c>
      <c r="E7" s="63">
        <v>78759.36</v>
      </c>
      <c r="F7" s="63">
        <v>78750.16</v>
      </c>
      <c r="G7" s="76">
        <v>83729.68</v>
      </c>
      <c r="H7" s="63">
        <v>87291.6</v>
      </c>
      <c r="I7" s="63">
        <v>87406.86</v>
      </c>
      <c r="J7" s="63">
        <v>87779.16</v>
      </c>
      <c r="K7" s="7">
        <v>7342.98</v>
      </c>
      <c r="L7" s="8">
        <v>7342.98</v>
      </c>
      <c r="M7" s="8">
        <v>7342.98</v>
      </c>
      <c r="N7" s="8">
        <v>7342.98</v>
      </c>
      <c r="O7" s="8">
        <v>7342.98</v>
      </c>
      <c r="P7" s="8">
        <v>7342.98</v>
      </c>
      <c r="Q7" s="8">
        <v>7342.98</v>
      </c>
      <c r="R7" s="8">
        <v>7342.98</v>
      </c>
      <c r="S7" s="8">
        <v>7342.98</v>
      </c>
      <c r="T7" s="8">
        <v>7342.98</v>
      </c>
      <c r="U7" s="8">
        <v>7342.98</v>
      </c>
      <c r="V7" s="8">
        <v>7342.98</v>
      </c>
      <c r="W7" s="54">
        <f>SUM(K7:V7)</f>
        <v>88115.75999999997</v>
      </c>
      <c r="X7" s="58">
        <f>SUM(C7:V7)</f>
        <v>742738.3399999999</v>
      </c>
    </row>
    <row r="8" spans="1:24" ht="13.5" thickBot="1">
      <c r="A8" s="41"/>
      <c r="B8" s="32" t="s">
        <v>72</v>
      </c>
      <c r="C8" s="76"/>
      <c r="D8" s="68"/>
      <c r="E8" s="76"/>
      <c r="F8" s="76"/>
      <c r="G8" s="76"/>
      <c r="H8" s="76"/>
      <c r="I8" s="76">
        <v>0</v>
      </c>
      <c r="J8" s="76">
        <v>8850.73</v>
      </c>
      <c r="K8" s="7">
        <f>905.4+44.25+26.39</f>
        <v>976.04</v>
      </c>
      <c r="L8" s="8">
        <f>905.4+44.25+26.39</f>
        <v>976.04</v>
      </c>
      <c r="M8" s="8">
        <f>905.4+44.25+26.39</f>
        <v>976.04</v>
      </c>
      <c r="N8" s="8">
        <f>905.4+44.25+26.39</f>
        <v>976.04</v>
      </c>
      <c r="O8" s="8">
        <f>120.62+44.25+26.39</f>
        <v>191.26</v>
      </c>
      <c r="P8" s="8">
        <f>282.11+44.25+26.39</f>
        <v>352.75</v>
      </c>
      <c r="Q8" s="8">
        <f>296.1+44.93+27.1</f>
        <v>368.13000000000005</v>
      </c>
      <c r="R8" s="8">
        <f>44.93+27.1</f>
        <v>72.03</v>
      </c>
      <c r="S8" s="8">
        <f>44.93+27.1</f>
        <v>72.03</v>
      </c>
      <c r="T8" s="8">
        <f>44.93+27.1</f>
        <v>72.03</v>
      </c>
      <c r="U8" s="8">
        <f>44.93+27.1</f>
        <v>72.03</v>
      </c>
      <c r="V8" s="8">
        <f>44.93+27.1</f>
        <v>72.03</v>
      </c>
      <c r="W8" s="54">
        <f>SUM(K8:V8)</f>
        <v>5176.449999999999</v>
      </c>
      <c r="X8" s="58">
        <f>SUM(C8:V8)</f>
        <v>14027.180000000006</v>
      </c>
    </row>
    <row r="9" spans="1:24" s="84" customFormat="1" ht="13.5" thickBot="1">
      <c r="A9" s="78" t="s">
        <v>29</v>
      </c>
      <c r="B9" s="79" t="s">
        <v>2</v>
      </c>
      <c r="C9" s="80">
        <f aca="true" t="shared" si="0" ref="C9:K9">SUM(C10:C23)</f>
        <v>60247.68</v>
      </c>
      <c r="D9" s="81">
        <f t="shared" si="0"/>
        <v>73488.31</v>
      </c>
      <c r="E9" s="80">
        <f t="shared" si="0"/>
        <v>69162.1</v>
      </c>
      <c r="F9" s="80">
        <f t="shared" si="0"/>
        <v>76310.70999999999</v>
      </c>
      <c r="G9" s="80">
        <f t="shared" si="0"/>
        <v>75581.23000000001</v>
      </c>
      <c r="H9" s="80">
        <f>SUM(H10:H23)</f>
        <v>97939.5</v>
      </c>
      <c r="I9" s="80">
        <f>SUM(I10:I23)</f>
        <v>75700.71</v>
      </c>
      <c r="J9" s="80">
        <f>SUM(J10:J23)</f>
        <v>88889.72</v>
      </c>
      <c r="K9" s="82">
        <f t="shared" si="0"/>
        <v>7472.56</v>
      </c>
      <c r="L9" s="82">
        <f aca="true" t="shared" si="1" ref="L9:V9">SUM(L10:L23)</f>
        <v>7493.11</v>
      </c>
      <c r="M9" s="82">
        <f t="shared" si="1"/>
        <v>14497.33</v>
      </c>
      <c r="N9" s="82">
        <f t="shared" si="1"/>
        <v>7247.779999999999</v>
      </c>
      <c r="O9" s="82">
        <f t="shared" si="1"/>
        <v>6427.24</v>
      </c>
      <c r="P9" s="82">
        <f t="shared" si="1"/>
        <v>6509.33</v>
      </c>
      <c r="Q9" s="82">
        <f t="shared" si="1"/>
        <v>7778.7</v>
      </c>
      <c r="R9" s="82">
        <f t="shared" si="1"/>
        <v>6303</v>
      </c>
      <c r="S9" s="82">
        <f t="shared" si="1"/>
        <v>5912.41</v>
      </c>
      <c r="T9" s="82">
        <f t="shared" si="1"/>
        <v>6192.68</v>
      </c>
      <c r="U9" s="82">
        <f t="shared" si="1"/>
        <v>7969.049999999999</v>
      </c>
      <c r="V9" s="81">
        <f t="shared" si="1"/>
        <v>7533.9400000000005</v>
      </c>
      <c r="W9" s="80">
        <f>SUM(K9:V9)</f>
        <v>91337.12999999999</v>
      </c>
      <c r="X9" s="83">
        <f>SUM(C9:V9)</f>
        <v>708657.09</v>
      </c>
    </row>
    <row r="10" spans="1:24" ht="13.5" thickBot="1">
      <c r="A10" s="41" t="s">
        <v>30</v>
      </c>
      <c r="B10" s="34" t="s">
        <v>4</v>
      </c>
      <c r="C10" s="47">
        <v>11163.58</v>
      </c>
      <c r="D10" s="69">
        <v>13351.22</v>
      </c>
      <c r="E10" s="47">
        <v>15850.09</v>
      </c>
      <c r="F10" s="47">
        <v>17904.94</v>
      </c>
      <c r="G10" s="47">
        <v>17812.66</v>
      </c>
      <c r="H10" s="47">
        <v>16442.2</v>
      </c>
      <c r="I10" s="47">
        <v>18093.65</v>
      </c>
      <c r="J10" s="47">
        <v>18767.39</v>
      </c>
      <c r="K10" s="7">
        <f>1484+57.12</f>
        <v>1541.12</v>
      </c>
      <c r="L10" s="8">
        <f>1484+62.65</f>
        <v>1546.65</v>
      </c>
      <c r="M10" s="8">
        <f>1431+43.01</f>
        <v>1474.01</v>
      </c>
      <c r="N10" s="8">
        <f>1431+121.16</f>
        <v>1552.16</v>
      </c>
      <c r="O10" s="8">
        <f>1431+113.21</f>
        <v>1544.21</v>
      </c>
      <c r="P10" s="8">
        <f>1431+116.28</f>
        <v>1547.28</v>
      </c>
      <c r="Q10" s="8">
        <f>1431+99.22</f>
        <v>1530.22</v>
      </c>
      <c r="R10" s="8">
        <f>1431+125.44</f>
        <v>1556.44</v>
      </c>
      <c r="S10" s="8">
        <f>1431+93.24</f>
        <v>1524.24</v>
      </c>
      <c r="T10" s="8">
        <f>1431+75.66</f>
        <v>1506.66</v>
      </c>
      <c r="U10" s="8">
        <f>1431+87.83</f>
        <v>1518.83</v>
      </c>
      <c r="V10" s="18">
        <f>1431+80.73</f>
        <v>1511.73</v>
      </c>
      <c r="W10" s="55">
        <f>SUM(K10:V10)</f>
        <v>18353.55</v>
      </c>
      <c r="X10" s="59">
        <f>SUM(C10:V10)</f>
        <v>147739.28</v>
      </c>
    </row>
    <row r="11" spans="1:24" ht="15.75" customHeight="1" thickBot="1">
      <c r="A11" s="41" t="s">
        <v>31</v>
      </c>
      <c r="B11" s="35" t="s">
        <v>63</v>
      </c>
      <c r="C11" s="48">
        <v>17286.58</v>
      </c>
      <c r="D11" s="70">
        <v>8271.71</v>
      </c>
      <c r="E11" s="48">
        <v>1123.5</v>
      </c>
      <c r="F11" s="48">
        <v>3156.8</v>
      </c>
      <c r="G11" s="48"/>
      <c r="H11" s="48">
        <v>839.82</v>
      </c>
      <c r="I11" s="48">
        <v>45.06</v>
      </c>
      <c r="J11" s="48">
        <v>0</v>
      </c>
      <c r="K11" s="9"/>
      <c r="L11" s="10"/>
      <c r="M11" s="10">
        <v>135</v>
      </c>
      <c r="N11" s="10"/>
      <c r="O11" s="10"/>
      <c r="P11" s="10"/>
      <c r="Q11" s="10"/>
      <c r="R11" s="10"/>
      <c r="S11" s="10"/>
      <c r="T11" s="10"/>
      <c r="U11" s="10"/>
      <c r="V11" s="19"/>
      <c r="W11" s="55">
        <f aca="true" t="shared" si="2" ref="W11:W25">SUM(K11:V11)</f>
        <v>135</v>
      </c>
      <c r="X11" s="29">
        <f aca="true" t="shared" si="3" ref="X11:X23">SUM(C11:V11)</f>
        <v>30858.47</v>
      </c>
    </row>
    <row r="12" spans="1:24" ht="14.25" customHeight="1" thickBot="1">
      <c r="A12" s="41"/>
      <c r="B12" s="35" t="s">
        <v>69</v>
      </c>
      <c r="C12" s="48"/>
      <c r="D12" s="70"/>
      <c r="E12" s="48"/>
      <c r="F12" s="48"/>
      <c r="G12" s="48"/>
      <c r="H12" s="48">
        <v>22992</v>
      </c>
      <c r="I12" s="48">
        <v>0</v>
      </c>
      <c r="J12" s="48">
        <v>0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9"/>
      <c r="W12" s="55">
        <f>SUM(K12:V12)</f>
        <v>0</v>
      </c>
      <c r="X12" s="29">
        <f>SUM(C12:V12)</f>
        <v>22992</v>
      </c>
    </row>
    <row r="13" spans="1:24" ht="16.5" customHeight="1" thickBot="1">
      <c r="A13" s="41" t="s">
        <v>32</v>
      </c>
      <c r="B13" s="33" t="s">
        <v>5</v>
      </c>
      <c r="C13" s="48">
        <v>0</v>
      </c>
      <c r="D13" s="70">
        <v>3132.9</v>
      </c>
      <c r="E13" s="48">
        <v>0</v>
      </c>
      <c r="F13" s="48">
        <v>0</v>
      </c>
      <c r="G13" s="48">
        <v>5160.9</v>
      </c>
      <c r="H13" s="48">
        <v>0</v>
      </c>
      <c r="I13" s="48">
        <v>0</v>
      </c>
      <c r="J13" s="48">
        <v>5573.1</v>
      </c>
      <c r="K13" s="9"/>
      <c r="L13" s="10"/>
      <c r="M13" s="10">
        <v>7160.68</v>
      </c>
      <c r="N13" s="10"/>
      <c r="O13" s="10"/>
      <c r="P13" s="10"/>
      <c r="Q13" s="10"/>
      <c r="R13" s="10"/>
      <c r="S13" s="10"/>
      <c r="T13" s="10"/>
      <c r="U13" s="10"/>
      <c r="V13" s="19"/>
      <c r="W13" s="55">
        <f t="shared" si="2"/>
        <v>7160.68</v>
      </c>
      <c r="X13" s="29">
        <f t="shared" si="3"/>
        <v>21027.58</v>
      </c>
    </row>
    <row r="14" spans="1:24" ht="26.25" customHeight="1" thickBot="1">
      <c r="A14" s="41" t="s">
        <v>33</v>
      </c>
      <c r="B14" s="33" t="s">
        <v>51</v>
      </c>
      <c r="C14" s="48">
        <v>0</v>
      </c>
      <c r="D14" s="70">
        <v>893.53</v>
      </c>
      <c r="E14" s="48">
        <v>0</v>
      </c>
      <c r="F14" s="48">
        <v>0</v>
      </c>
      <c r="G14" s="48"/>
      <c r="H14" s="48">
        <v>600</v>
      </c>
      <c r="I14" s="48">
        <v>800</v>
      </c>
      <c r="J14" s="48">
        <v>800</v>
      </c>
      <c r="K14" s="9"/>
      <c r="L14" s="10"/>
      <c r="M14" s="10"/>
      <c r="N14" s="10"/>
      <c r="O14" s="10"/>
      <c r="P14" s="10"/>
      <c r="Q14" s="10">
        <v>900</v>
      </c>
      <c r="R14" s="10"/>
      <c r="S14" s="10"/>
      <c r="T14" s="10"/>
      <c r="U14" s="10">
        <v>800</v>
      </c>
      <c r="V14" s="19"/>
      <c r="W14" s="55">
        <f t="shared" si="2"/>
        <v>1700</v>
      </c>
      <c r="X14" s="29">
        <f t="shared" si="3"/>
        <v>4793.53</v>
      </c>
    </row>
    <row r="15" spans="1:24" ht="14.25" customHeight="1" thickBot="1">
      <c r="A15" s="41" t="s">
        <v>34</v>
      </c>
      <c r="B15" s="35" t="s">
        <v>61</v>
      </c>
      <c r="C15" s="48">
        <v>4880.36</v>
      </c>
      <c r="D15" s="70">
        <v>620.42</v>
      </c>
      <c r="E15" s="48">
        <v>1110.59</v>
      </c>
      <c r="F15" s="48">
        <v>4192.55</v>
      </c>
      <c r="G15" s="48">
        <v>80.81</v>
      </c>
      <c r="H15" s="48">
        <v>1515.39</v>
      </c>
      <c r="I15" s="48">
        <v>919.26</v>
      </c>
      <c r="J15" s="48">
        <v>1092.3</v>
      </c>
      <c r="K15" s="9"/>
      <c r="L15" s="10"/>
      <c r="M15" s="10"/>
      <c r="N15" s="10"/>
      <c r="O15" s="10">
        <v>60</v>
      </c>
      <c r="P15" s="10"/>
      <c r="Q15" s="10">
        <v>125.79</v>
      </c>
      <c r="R15" s="10"/>
      <c r="S15" s="10"/>
      <c r="T15" s="10"/>
      <c r="U15" s="10">
        <v>585.7</v>
      </c>
      <c r="V15" s="19">
        <v>803.7</v>
      </c>
      <c r="W15" s="55">
        <f t="shared" si="2"/>
        <v>1575.19</v>
      </c>
      <c r="X15" s="29">
        <f t="shared" si="3"/>
        <v>15986.87</v>
      </c>
    </row>
    <row r="16" spans="1:24" ht="21.75" customHeight="1" thickBot="1">
      <c r="A16" s="41" t="s">
        <v>35</v>
      </c>
      <c r="B16" s="35" t="s">
        <v>55</v>
      </c>
      <c r="C16" s="48">
        <v>0</v>
      </c>
      <c r="D16" s="70">
        <v>0</v>
      </c>
      <c r="E16" s="48">
        <v>256</v>
      </c>
      <c r="F16" s="48">
        <v>0</v>
      </c>
      <c r="G16" s="48">
        <v>1859.61</v>
      </c>
      <c r="H16" s="48">
        <v>0</v>
      </c>
      <c r="I16" s="48">
        <v>186</v>
      </c>
      <c r="J16" s="48">
        <v>62.96</v>
      </c>
      <c r="K16" s="9">
        <v>14</v>
      </c>
      <c r="L16" s="10">
        <v>78</v>
      </c>
      <c r="M16" s="10"/>
      <c r="N16" s="10"/>
      <c r="O16" s="10"/>
      <c r="P16" s="10"/>
      <c r="Q16" s="10"/>
      <c r="R16" s="10"/>
      <c r="S16" s="10"/>
      <c r="T16" s="10"/>
      <c r="U16" s="10"/>
      <c r="V16" s="19"/>
      <c r="W16" s="55">
        <f t="shared" si="2"/>
        <v>92</v>
      </c>
      <c r="X16" s="29">
        <f t="shared" si="3"/>
        <v>2456.5699999999997</v>
      </c>
    </row>
    <row r="17" spans="1:24" ht="15.75" customHeight="1" thickBot="1">
      <c r="A17" s="41" t="s">
        <v>36</v>
      </c>
      <c r="B17" s="35" t="s">
        <v>73</v>
      </c>
      <c r="C17" s="48">
        <v>3468.31</v>
      </c>
      <c r="D17" s="70">
        <v>4390.4</v>
      </c>
      <c r="E17" s="48">
        <v>2486.29</v>
      </c>
      <c r="F17" s="48">
        <v>0</v>
      </c>
      <c r="G17" s="48"/>
      <c r="H17" s="48">
        <v>0</v>
      </c>
      <c r="I17" s="48">
        <v>0</v>
      </c>
      <c r="J17" s="48">
        <v>8245.88</v>
      </c>
      <c r="K17" s="9">
        <v>905.4</v>
      </c>
      <c r="L17" s="10">
        <v>905.4</v>
      </c>
      <c r="M17" s="10">
        <v>905.4</v>
      </c>
      <c r="N17" s="10">
        <v>905.4</v>
      </c>
      <c r="O17" s="10">
        <v>120.62</v>
      </c>
      <c r="P17" s="10">
        <v>282.11</v>
      </c>
      <c r="Q17" s="10">
        <v>296.1</v>
      </c>
      <c r="R17" s="10"/>
      <c r="S17" s="10"/>
      <c r="T17" s="10"/>
      <c r="U17" s="10"/>
      <c r="V17" s="19"/>
      <c r="W17" s="55">
        <f t="shared" si="2"/>
        <v>4320.43</v>
      </c>
      <c r="X17" s="29">
        <f t="shared" si="3"/>
        <v>22911.31</v>
      </c>
    </row>
    <row r="18" spans="1:24" ht="15" customHeight="1" thickBot="1">
      <c r="A18" s="41" t="s">
        <v>37</v>
      </c>
      <c r="B18" s="35" t="s">
        <v>74</v>
      </c>
      <c r="C18" s="48">
        <v>667</v>
      </c>
      <c r="D18" s="70">
        <v>461.92</v>
      </c>
      <c r="E18" s="48">
        <v>237.85</v>
      </c>
      <c r="F18" s="48">
        <v>387.2</v>
      </c>
      <c r="G18" s="48">
        <v>435.59</v>
      </c>
      <c r="H18" s="48">
        <v>328.32</v>
      </c>
      <c r="I18" s="48">
        <v>0</v>
      </c>
      <c r="J18" s="48">
        <v>0</v>
      </c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9"/>
      <c r="W18" s="55">
        <f t="shared" si="2"/>
        <v>0</v>
      </c>
      <c r="X18" s="29">
        <f t="shared" si="3"/>
        <v>2517.88</v>
      </c>
    </row>
    <row r="19" spans="1:24" ht="35.25" customHeight="1" thickBot="1">
      <c r="A19" s="41" t="s">
        <v>38</v>
      </c>
      <c r="B19" s="35" t="s">
        <v>64</v>
      </c>
      <c r="C19" s="48">
        <v>971.2</v>
      </c>
      <c r="D19" s="70">
        <v>3463.3</v>
      </c>
      <c r="E19" s="48">
        <v>4365.95</v>
      </c>
      <c r="F19" s="48">
        <v>4384.23</v>
      </c>
      <c r="G19" s="48">
        <v>2906.18</v>
      </c>
      <c r="H19" s="48">
        <v>3427.49</v>
      </c>
      <c r="I19" s="48">
        <v>3628.27</v>
      </c>
      <c r="J19" s="48">
        <v>3703.16</v>
      </c>
      <c r="K19" s="9">
        <v>324.21</v>
      </c>
      <c r="L19" s="10">
        <v>297.43</v>
      </c>
      <c r="M19" s="10">
        <v>396.66</v>
      </c>
      <c r="N19" s="10">
        <v>309.31</v>
      </c>
      <c r="O19" s="10">
        <v>260.15</v>
      </c>
      <c r="P19" s="10">
        <v>377.06</v>
      </c>
      <c r="Q19" s="10">
        <v>306.71</v>
      </c>
      <c r="R19" s="10">
        <v>313.66</v>
      </c>
      <c r="S19" s="10">
        <v>257.79</v>
      </c>
      <c r="T19" s="10">
        <v>386.97</v>
      </c>
      <c r="U19" s="10">
        <v>342.12</v>
      </c>
      <c r="V19" s="19">
        <v>334.08</v>
      </c>
      <c r="W19" s="55">
        <f t="shared" si="2"/>
        <v>3906.1499999999996</v>
      </c>
      <c r="X19" s="29">
        <f t="shared" si="3"/>
        <v>30755.930000000004</v>
      </c>
    </row>
    <row r="20" spans="1:24" ht="22.5" customHeight="1" thickBot="1">
      <c r="A20" s="41" t="s">
        <v>39</v>
      </c>
      <c r="B20" s="35" t="s">
        <v>65</v>
      </c>
      <c r="C20" s="48">
        <v>1716.81</v>
      </c>
      <c r="D20" s="70">
        <v>1885.24</v>
      </c>
      <c r="E20" s="48">
        <v>565.59</v>
      </c>
      <c r="F20" s="48">
        <v>402.06</v>
      </c>
      <c r="G20" s="48">
        <v>874.25</v>
      </c>
      <c r="H20" s="48">
        <v>590.7</v>
      </c>
      <c r="I20" s="48">
        <v>516.53</v>
      </c>
      <c r="J20" s="48">
        <v>404.96</v>
      </c>
      <c r="K20" s="9">
        <v>32.04</v>
      </c>
      <c r="L20" s="10">
        <v>21.51</v>
      </c>
      <c r="M20" s="10">
        <v>15.28</v>
      </c>
      <c r="N20" s="10">
        <v>21.47</v>
      </c>
      <c r="O20" s="10">
        <v>19.93</v>
      </c>
      <c r="P20" s="10">
        <v>23.77</v>
      </c>
      <c r="Q20" s="10">
        <v>72.68</v>
      </c>
      <c r="R20" s="10">
        <v>18.61</v>
      </c>
      <c r="S20" s="10">
        <v>23.04</v>
      </c>
      <c r="T20" s="10">
        <v>19.95</v>
      </c>
      <c r="U20" s="10">
        <v>95.41</v>
      </c>
      <c r="V20" s="19">
        <v>30.33</v>
      </c>
      <c r="W20" s="55">
        <f t="shared" si="2"/>
        <v>394.02000000000004</v>
      </c>
      <c r="X20" s="29">
        <f t="shared" si="3"/>
        <v>7350.160000000001</v>
      </c>
    </row>
    <row r="21" spans="1:24" ht="36.75" customHeight="1" thickBot="1">
      <c r="A21" s="41" t="s">
        <v>40</v>
      </c>
      <c r="B21" s="35" t="s">
        <v>66</v>
      </c>
      <c r="C21" s="48">
        <v>2047.92</v>
      </c>
      <c r="D21" s="70">
        <v>3026.65</v>
      </c>
      <c r="E21" s="48">
        <v>2943.16</v>
      </c>
      <c r="F21" s="48">
        <v>3943.92</v>
      </c>
      <c r="G21" s="48">
        <v>3389.96</v>
      </c>
      <c r="H21" s="48">
        <v>4377.14</v>
      </c>
      <c r="I21" s="48">
        <v>3757.21</v>
      </c>
      <c r="J21" s="48">
        <v>3995.3</v>
      </c>
      <c r="K21" s="9">
        <f>16.04+114.7+177.19</f>
        <v>307.93</v>
      </c>
      <c r="L21" s="10">
        <f>168.23+17.58+155.17</f>
        <v>340.98</v>
      </c>
      <c r="M21" s="10">
        <f>170.4+17.42+168.4</f>
        <v>356.22</v>
      </c>
      <c r="N21" s="10">
        <f>179.49+17.66+131.18</f>
        <v>328.33000000000004</v>
      </c>
      <c r="O21" s="10">
        <f>217.63+15.86+102.38</f>
        <v>335.87</v>
      </c>
      <c r="P21" s="10">
        <f>174.78+14.88+97.69</f>
        <v>287.35</v>
      </c>
      <c r="Q21" s="10">
        <f>16.74+113.52+220.56</f>
        <v>350.82</v>
      </c>
      <c r="R21" s="10">
        <f>17.78+172.51+170.99</f>
        <v>361.28</v>
      </c>
      <c r="S21" s="10">
        <f>199.21+13.99+133.42</f>
        <v>346.62</v>
      </c>
      <c r="T21" s="10">
        <f>18.67+240.09+194.19</f>
        <v>452.95</v>
      </c>
      <c r="U21" s="10">
        <f>15.3+133.92+278.2</f>
        <v>427.41999999999996</v>
      </c>
      <c r="V21" s="19">
        <f>252.61+17.69+226.65</f>
        <v>496.95000000000005</v>
      </c>
      <c r="W21" s="55">
        <f t="shared" si="2"/>
        <v>4392.719999999999</v>
      </c>
      <c r="X21" s="29">
        <f t="shared" si="3"/>
        <v>31873.979999999996</v>
      </c>
    </row>
    <row r="22" spans="1:24" ht="15.75" customHeight="1" thickBot="1">
      <c r="A22" s="41" t="s">
        <v>56</v>
      </c>
      <c r="B22" s="35" t="s">
        <v>9</v>
      </c>
      <c r="C22" s="48">
        <v>15491.05</v>
      </c>
      <c r="D22" s="70">
        <v>29280.3</v>
      </c>
      <c r="E22" s="48">
        <v>36928.17</v>
      </c>
      <c r="F22" s="48">
        <v>38965.33</v>
      </c>
      <c r="G22" s="48">
        <v>39880.58</v>
      </c>
      <c r="H22" s="48">
        <v>43576.22</v>
      </c>
      <c r="I22" s="48">
        <v>44455.66</v>
      </c>
      <c r="J22" s="48">
        <v>42634.07</v>
      </c>
      <c r="K22" s="9">
        <f>7472.56-3378.26</f>
        <v>4094.3</v>
      </c>
      <c r="L22" s="10">
        <f>7493.11-3564.66</f>
        <v>3928.45</v>
      </c>
      <c r="M22" s="10">
        <f>14497.33-10757.38</f>
        <v>3739.9500000000007</v>
      </c>
      <c r="N22" s="10">
        <f>7247.78-3404.92</f>
        <v>3842.8599999999997</v>
      </c>
      <c r="O22" s="10">
        <f>6427.24-2689.29</f>
        <v>3737.95</v>
      </c>
      <c r="P22" s="10">
        <f>6509.33-2796</f>
        <v>3713.33</v>
      </c>
      <c r="Q22" s="10">
        <f>7778.7-3870.47</f>
        <v>3908.23</v>
      </c>
      <c r="R22" s="10">
        <f>6303-2541.17</f>
        <v>3761.83</v>
      </c>
      <c r="S22" s="10">
        <f>5912.41-2408.62</f>
        <v>3503.79</v>
      </c>
      <c r="T22" s="10">
        <f>6192.68-2623.46</f>
        <v>3569.2200000000003</v>
      </c>
      <c r="U22" s="10">
        <f>7969.05-4095.59</f>
        <v>3873.46</v>
      </c>
      <c r="V22" s="19">
        <f>7533.88-3441.3+0.06</f>
        <v>4092.64</v>
      </c>
      <c r="W22" s="55">
        <f t="shared" si="2"/>
        <v>45766.01</v>
      </c>
      <c r="X22" s="29">
        <f t="shared" si="3"/>
        <v>336977.39</v>
      </c>
    </row>
    <row r="23" spans="1:24" ht="13.5" customHeight="1" thickBot="1">
      <c r="A23" s="41" t="s">
        <v>57</v>
      </c>
      <c r="B23" s="36" t="s">
        <v>3</v>
      </c>
      <c r="C23" s="49">
        <v>2554.87</v>
      </c>
      <c r="D23" s="71">
        <v>4710.72</v>
      </c>
      <c r="E23" s="49">
        <v>3294.91</v>
      </c>
      <c r="F23" s="49">
        <v>2973.68</v>
      </c>
      <c r="G23" s="49">
        <v>3180.69</v>
      </c>
      <c r="H23" s="49">
        <v>3250.22</v>
      </c>
      <c r="I23" s="49">
        <v>3299.07</v>
      </c>
      <c r="J23" s="49">
        <v>3610.6</v>
      </c>
      <c r="K23" s="11">
        <f>29.75+223.81</f>
        <v>253.56</v>
      </c>
      <c r="L23" s="12">
        <f>43.96+330.73</f>
        <v>374.69</v>
      </c>
      <c r="M23" s="12">
        <f>36.86+277.27</f>
        <v>314.13</v>
      </c>
      <c r="N23" s="12">
        <f>33.82+254.43</f>
        <v>288.25</v>
      </c>
      <c r="O23" s="12">
        <f>40.89+307.62</f>
        <v>348.51</v>
      </c>
      <c r="P23" s="12">
        <f>8.67+269.76</f>
        <v>278.43</v>
      </c>
      <c r="Q23" s="12">
        <f>12.43+275.72</f>
        <v>288.15000000000003</v>
      </c>
      <c r="R23" s="12">
        <f>12.35+278.83</f>
        <v>291.18</v>
      </c>
      <c r="S23" s="12">
        <f>2.5+254.43</f>
        <v>256.93</v>
      </c>
      <c r="T23" s="12">
        <f>2.5+254.43</f>
        <v>256.93</v>
      </c>
      <c r="U23" s="12">
        <f>3.17+322.94</f>
        <v>326.11</v>
      </c>
      <c r="V23" s="21">
        <f>2.57+261.94</f>
        <v>264.51</v>
      </c>
      <c r="W23" s="55">
        <f t="shared" si="2"/>
        <v>3541.38</v>
      </c>
      <c r="X23" s="29">
        <f t="shared" si="3"/>
        <v>30416.14</v>
      </c>
    </row>
    <row r="24" spans="1:24" ht="13.5" customHeight="1" thickBot="1">
      <c r="A24" s="41"/>
      <c r="B24" s="38" t="s">
        <v>60</v>
      </c>
      <c r="C24" s="61"/>
      <c r="D24" s="72"/>
      <c r="E24" s="61"/>
      <c r="F24" s="61"/>
      <c r="G24" s="74">
        <f>G7*5%</f>
        <v>4186.4839999999995</v>
      </c>
      <c r="H24" s="74">
        <f>H7*5%</f>
        <v>4364.580000000001</v>
      </c>
      <c r="I24" s="77">
        <f>I7*5%</f>
        <v>4370.343</v>
      </c>
      <c r="J24" s="77">
        <f>J7*5%</f>
        <v>4388.9580000000005</v>
      </c>
      <c r="K24" s="73">
        <f>K7*5%</f>
        <v>367.149</v>
      </c>
      <c r="L24" s="73">
        <f aca="true" t="shared" si="4" ref="L24:V24">L7*5%</f>
        <v>367.149</v>
      </c>
      <c r="M24" s="73">
        <f t="shared" si="4"/>
        <v>367.149</v>
      </c>
      <c r="N24" s="73">
        <f t="shared" si="4"/>
        <v>367.149</v>
      </c>
      <c r="O24" s="73">
        <f t="shared" si="4"/>
        <v>367.149</v>
      </c>
      <c r="P24" s="73">
        <f t="shared" si="4"/>
        <v>367.149</v>
      </c>
      <c r="Q24" s="73">
        <f t="shared" si="4"/>
        <v>367.149</v>
      </c>
      <c r="R24" s="73">
        <f t="shared" si="4"/>
        <v>367.149</v>
      </c>
      <c r="S24" s="73">
        <f t="shared" si="4"/>
        <v>367.149</v>
      </c>
      <c r="T24" s="73">
        <f t="shared" si="4"/>
        <v>367.149</v>
      </c>
      <c r="U24" s="73">
        <f t="shared" si="4"/>
        <v>367.149</v>
      </c>
      <c r="V24" s="73">
        <f t="shared" si="4"/>
        <v>367.149</v>
      </c>
      <c r="W24" s="74">
        <f t="shared" si="2"/>
        <v>4405.788</v>
      </c>
      <c r="X24" s="62"/>
    </row>
    <row r="25" spans="1:24" ht="16.5" customHeight="1" thickBot="1">
      <c r="A25" s="41" t="s">
        <v>41</v>
      </c>
      <c r="B25" s="38" t="s">
        <v>53</v>
      </c>
      <c r="C25" s="61"/>
      <c r="D25" s="72"/>
      <c r="E25" s="61"/>
      <c r="F25" s="61"/>
      <c r="G25" s="61"/>
      <c r="H25" s="61"/>
      <c r="I25" s="61"/>
      <c r="J25" s="74">
        <f aca="true" t="shared" si="5" ref="J25:V25">SUM(J7+J8-J9)-J24</f>
        <v>3351.2119999999977</v>
      </c>
      <c r="K25" s="75">
        <f t="shared" si="5"/>
        <v>479.31100000000004</v>
      </c>
      <c r="L25" s="75">
        <f t="shared" si="5"/>
        <v>458.76100000000076</v>
      </c>
      <c r="M25" s="75">
        <f t="shared" si="5"/>
        <v>-6545.459</v>
      </c>
      <c r="N25" s="75">
        <f t="shared" si="5"/>
        <v>704.0910000000016</v>
      </c>
      <c r="O25" s="75">
        <f t="shared" si="5"/>
        <v>739.851</v>
      </c>
      <c r="P25" s="75">
        <f t="shared" si="5"/>
        <v>819.2509999999996</v>
      </c>
      <c r="Q25" s="75">
        <f t="shared" si="5"/>
        <v>-434.73900000000015</v>
      </c>
      <c r="R25" s="75">
        <f t="shared" si="5"/>
        <v>744.8609999999993</v>
      </c>
      <c r="S25" s="75">
        <f t="shared" si="5"/>
        <v>1135.4509999999996</v>
      </c>
      <c r="T25" s="75">
        <f t="shared" si="5"/>
        <v>855.180999999999</v>
      </c>
      <c r="U25" s="75">
        <f t="shared" si="5"/>
        <v>-921.189</v>
      </c>
      <c r="V25" s="75">
        <f t="shared" si="5"/>
        <v>-486.0790000000012</v>
      </c>
      <c r="W25" s="74">
        <f t="shared" si="2"/>
        <v>-2450.708000000001</v>
      </c>
      <c r="X25" s="62"/>
    </row>
    <row r="26" spans="1:24" ht="26.25" customHeight="1" thickBot="1">
      <c r="A26" s="78" t="s">
        <v>42</v>
      </c>
      <c r="B26" s="85" t="s">
        <v>23</v>
      </c>
      <c r="C26" s="86">
        <v>11918.02</v>
      </c>
      <c r="D26" s="81">
        <f>SUM(D7-D9)</f>
        <v>5251.729999999996</v>
      </c>
      <c r="E26" s="80">
        <f>SUM(E7-E9)</f>
        <v>9597.259999999995</v>
      </c>
      <c r="F26" s="80">
        <f>SUM(F7-F9)</f>
        <v>2439.4500000000116</v>
      </c>
      <c r="G26" s="87">
        <f>SUM(G7-G9)-G24</f>
        <v>3961.965999999983</v>
      </c>
      <c r="H26" s="87">
        <f>SUM(H7-H9)-H24</f>
        <v>-15012.479999999996</v>
      </c>
      <c r="I26" s="87">
        <f>SUM(I7-I9)-I24</f>
        <v>7335.806999999994</v>
      </c>
      <c r="J26" s="87">
        <f>SUM(J7+J8-J9)-J24</f>
        <v>3351.2119999999977</v>
      </c>
      <c r="K26" s="88">
        <f>SUM(K7+K8-K9)-K24</f>
        <v>479.31100000000004</v>
      </c>
      <c r="L26" s="89">
        <f>SUM(L25+K26)</f>
        <v>938.0720000000008</v>
      </c>
      <c r="M26" s="89">
        <f aca="true" t="shared" si="6" ref="M26:V26">SUM(M25+L26)</f>
        <v>-5607.386999999999</v>
      </c>
      <c r="N26" s="89">
        <f t="shared" si="6"/>
        <v>-4903.295999999998</v>
      </c>
      <c r="O26" s="89">
        <f t="shared" si="6"/>
        <v>-4163.444999999998</v>
      </c>
      <c r="P26" s="89">
        <f t="shared" si="6"/>
        <v>-3344.193999999998</v>
      </c>
      <c r="Q26" s="89">
        <f t="shared" si="6"/>
        <v>-3778.932999999998</v>
      </c>
      <c r="R26" s="89">
        <f t="shared" si="6"/>
        <v>-3034.0719999999988</v>
      </c>
      <c r="S26" s="89">
        <f t="shared" si="6"/>
        <v>-1898.6209999999992</v>
      </c>
      <c r="T26" s="89">
        <f t="shared" si="6"/>
        <v>-1043.44</v>
      </c>
      <c r="U26" s="89">
        <f t="shared" si="6"/>
        <v>-1964.629</v>
      </c>
      <c r="V26" s="89">
        <f t="shared" si="6"/>
        <v>-2450.708000000001</v>
      </c>
      <c r="W26" s="80"/>
      <c r="X26" s="90"/>
    </row>
    <row r="27" spans="1:24" ht="23.25" customHeight="1" hidden="1" thickBot="1">
      <c r="A27" s="41" t="s">
        <v>43</v>
      </c>
      <c r="B27" s="37" t="s">
        <v>24</v>
      </c>
      <c r="C27" s="44">
        <v>11918.02</v>
      </c>
      <c r="D27" s="20">
        <f>SUM(D7-D9,C27)</f>
        <v>17169.749999999996</v>
      </c>
      <c r="E27" s="55">
        <f>SUM(E7-E9,D27)</f>
        <v>26767.00999999999</v>
      </c>
      <c r="F27" s="55">
        <f>SUM(F7-F9,E27)</f>
        <v>29206.460000000003</v>
      </c>
      <c r="G27" s="74">
        <f>SUM(G26+F27)</f>
        <v>33168.425999999985</v>
      </c>
      <c r="H27" s="74">
        <f>SUM(H26+G27)</f>
        <v>18155.94599999999</v>
      </c>
      <c r="I27" s="74">
        <f>SUM(I26+H27)</f>
        <v>25491.752999999982</v>
      </c>
      <c r="J27" s="74">
        <f>SUM(J26+I27)</f>
        <v>28842.964999999982</v>
      </c>
      <c r="K27" s="74">
        <f>SUM(K26+J27)</f>
        <v>29322.275999999983</v>
      </c>
      <c r="L27" s="74">
        <f aca="true" t="shared" si="7" ref="L27:U27">SUM(L25+K27)</f>
        <v>29781.036999999986</v>
      </c>
      <c r="M27" s="74">
        <f t="shared" si="7"/>
        <v>23235.577999999987</v>
      </c>
      <c r="N27" s="74">
        <f t="shared" si="7"/>
        <v>23939.668999999987</v>
      </c>
      <c r="O27" s="74">
        <f t="shared" si="7"/>
        <v>24679.519999999986</v>
      </c>
      <c r="P27" s="74">
        <f t="shared" si="7"/>
        <v>25498.770999999986</v>
      </c>
      <c r="Q27" s="74">
        <f t="shared" si="7"/>
        <v>25064.031999999985</v>
      </c>
      <c r="R27" s="74">
        <f t="shared" si="7"/>
        <v>25808.892999999985</v>
      </c>
      <c r="S27" s="74">
        <f t="shared" si="7"/>
        <v>26944.343999999986</v>
      </c>
      <c r="T27" s="74">
        <f t="shared" si="7"/>
        <v>27799.524999999987</v>
      </c>
      <c r="U27" s="74">
        <f t="shared" si="7"/>
        <v>26878.33599999999</v>
      </c>
      <c r="V27" s="74">
        <f>SUM(V25+U27)</f>
        <v>26392.256999999987</v>
      </c>
      <c r="W27" s="55"/>
      <c r="X27" s="29"/>
    </row>
    <row r="28" spans="1:24" ht="9.75" customHeight="1" hidden="1" thickBot="1">
      <c r="A28" s="41" t="s">
        <v>44</v>
      </c>
      <c r="B28" s="37" t="s">
        <v>7</v>
      </c>
      <c r="C28" s="44"/>
      <c r="D28" s="44"/>
      <c r="E28" s="64"/>
      <c r="F28" s="64"/>
      <c r="G28" s="64"/>
      <c r="H28" s="64"/>
      <c r="I28" s="64"/>
      <c r="J28" s="64"/>
      <c r="K28" s="13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22"/>
      <c r="W28" s="55"/>
      <c r="X28" s="51"/>
    </row>
    <row r="29" spans="1:24" ht="15" customHeight="1" hidden="1" thickBot="1">
      <c r="A29" s="42" t="s">
        <v>45</v>
      </c>
      <c r="B29" s="38" t="s">
        <v>25</v>
      </c>
      <c r="C29" s="45"/>
      <c r="D29" s="45"/>
      <c r="E29" s="65"/>
      <c r="F29" s="65"/>
      <c r="G29" s="65"/>
      <c r="H29" s="65"/>
      <c r="I29" s="65"/>
      <c r="J29" s="65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3"/>
      <c r="W29" s="56"/>
      <c r="X29" s="51"/>
    </row>
    <row r="30" spans="1:24" ht="0.75" customHeight="1" hidden="1" thickBot="1">
      <c r="A30" s="42" t="s">
        <v>48</v>
      </c>
      <c r="B30" s="39" t="s">
        <v>49</v>
      </c>
      <c r="C30" s="46"/>
      <c r="D30" s="46"/>
      <c r="E30" s="66"/>
      <c r="F30" s="66"/>
      <c r="G30" s="66"/>
      <c r="H30" s="66"/>
      <c r="I30" s="66"/>
      <c r="J30" s="6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>
        <f>SUM(V26-V28)</f>
        <v>-2450.708000000001</v>
      </c>
      <c r="W30" s="57"/>
      <c r="X30" s="52"/>
    </row>
    <row r="31" spans="1:24" ht="24" customHeight="1" hidden="1" thickBot="1">
      <c r="A31" s="60" t="s">
        <v>52</v>
      </c>
      <c r="B31" s="39" t="s">
        <v>26</v>
      </c>
      <c r="C31" s="46"/>
      <c r="D31" s="46"/>
      <c r="E31" s="66"/>
      <c r="F31" s="66"/>
      <c r="G31" s="66"/>
      <c r="H31" s="66"/>
      <c r="I31" s="66"/>
      <c r="J31" s="6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>
        <f>SUM(V27-V28)</f>
        <v>26392.256999999987</v>
      </c>
      <c r="W31" s="57"/>
      <c r="X31" s="52"/>
    </row>
    <row r="32" spans="3:24" ht="13.5" customHeight="1" hidden="1"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</row>
    <row r="33" ht="12.75">
      <c r="B33" t="s">
        <v>67</v>
      </c>
    </row>
    <row r="34" ht="3" customHeight="1" hidden="1"/>
    <row r="35" ht="12.75" hidden="1"/>
    <row r="36" ht="12.75" hidden="1"/>
    <row r="41" ht="12.75" customHeight="1"/>
    <row r="42" ht="12.75" customHeight="1"/>
  </sheetData>
  <sheetProtection/>
  <mergeCells count="5">
    <mergeCell ref="B4:X4"/>
    <mergeCell ref="B5:X5"/>
    <mergeCell ref="B3:X3"/>
    <mergeCell ref="B1:M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2019-02-11T06:18:58Z</cp:lastPrinted>
  <dcterms:created xsi:type="dcterms:W3CDTF">2011-06-16T11:06:26Z</dcterms:created>
  <dcterms:modified xsi:type="dcterms:W3CDTF">2019-02-12T13:07:41Z</dcterms:modified>
  <cp:category/>
  <cp:version/>
  <cp:contentType/>
  <cp:contentStatus/>
</cp:coreProperties>
</file>