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<sst xmlns="http://schemas.openxmlformats.org/spreadsheetml/2006/main" count="79" uniqueCount="78">
  <si>
    <t>СПРАВКА</t>
  </si>
  <si>
    <t xml:space="preserve">Начислено  </t>
  </si>
  <si>
    <t>Расходы</t>
  </si>
  <si>
    <t>Услуги РИРЦ</t>
  </si>
  <si>
    <t>Вывоз ТБО</t>
  </si>
  <si>
    <t>Наименование</t>
  </si>
  <si>
    <t>Задолженность по неплательщикам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</si>
  <si>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</si>
  <si>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</si>
  <si>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</si>
  <si>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</si>
  <si>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</si>
  <si>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</si>
  <si>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</si>
  <si>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</si>
  <si>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</si>
  <si>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</si>
  <si>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</si>
  <si>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</si>
  <si>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</si>
  <si>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</si>
  <si>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</si>
  <si>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</si>
  <si>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</si>
  <si>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</si>
  <si>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</si>
  <si>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</si>
  <si>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</si>
  <si>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</si>
  <si>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</si>
  <si>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</si>
  <si>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4.5</t>
  </si>
  <si>
    <t>4.6</t>
  </si>
  <si>
    <t>4.7</t>
  </si>
  <si>
    <t>4.8</t>
  </si>
  <si>
    <t>4.10</t>
  </si>
  <si>
    <t>4.11</t>
  </si>
  <si>
    <t>5</t>
  </si>
  <si>
    <t>6</t>
  </si>
  <si>
    <t>7</t>
  </si>
  <si>
    <t>8</t>
  </si>
  <si>
    <t>9</t>
  </si>
  <si>
    <t>по жилому дому г. Унеча ул. Комсомольская д.2</t>
  </si>
  <si>
    <t>10</t>
  </si>
  <si>
    <t>Финансовый результат по дому с начала года</t>
  </si>
  <si>
    <t>за 2009 г</t>
  </si>
  <si>
    <t>за 2010 г</t>
  </si>
  <si>
    <t>Итого за 2011 г</t>
  </si>
  <si>
    <t>Результат за месяц</t>
  </si>
  <si>
    <t>Благоустройство территории</t>
  </si>
  <si>
    <t>Итого за 2012 г</t>
  </si>
  <si>
    <t>4.12</t>
  </si>
  <si>
    <t>4.14</t>
  </si>
  <si>
    <t xml:space="preserve">Материалы </t>
  </si>
  <si>
    <t>4.15</t>
  </si>
  <si>
    <t>Дом по ул.Комсомольской д.2 вступил в ООО "Наш дом" с октября 2009 года                тариф 10,35 руб.</t>
  </si>
  <si>
    <t>Итого за 2013 г</t>
  </si>
  <si>
    <t>Итого за 2014 г</t>
  </si>
  <si>
    <t>рентабельность 5%</t>
  </si>
  <si>
    <t>Итого за 2015 г</t>
  </si>
  <si>
    <t>Услуги сторонних орган.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</si>
  <si>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</si>
  <si>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</si>
  <si>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</si>
  <si>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4.3</t>
  </si>
  <si>
    <t>Проверка вент.каналов</t>
  </si>
  <si>
    <t>4.4</t>
  </si>
  <si>
    <t>Проверка газового оборудов.</t>
  </si>
  <si>
    <t>Исполнитель  вед. экономист /Викторова Л.С./</t>
  </si>
  <si>
    <t>Итого за 2016 г</t>
  </si>
  <si>
    <t>Итого за 2017 г</t>
  </si>
  <si>
    <t>Начислено СОИД</t>
  </si>
  <si>
    <t>Начислено нежилые</t>
  </si>
  <si>
    <t>Электроэнергия СОИД</t>
  </si>
  <si>
    <t>Горячая вода СОИД</t>
  </si>
  <si>
    <t>Итого за 2018 г</t>
  </si>
  <si>
    <t>Всего за 2009- 2018</t>
  </si>
  <si>
    <t>Дератизация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</si>
</sst>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5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49" fontId="21" fillId="0" borderId="28" xfId="0" applyNumberFormat="1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27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2" borderId="31" xfId="0" applyFont="1" applyFill="1" applyBorder="1" applyAlignment="1">
      <alignment wrapText="1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21" fillId="0" borderId="35" xfId="0" applyFont="1" applyBorder="1" applyAlignment="1">
      <alignment wrapText="1"/>
    </xf>
    <xf numFmtId="0" fontId="23" fillId="0" borderId="23" xfId="0" applyFont="1" applyBorder="1" applyAlignment="1">
      <alignment horizontal="left" vertical="center" wrapText="1"/>
    </xf>
    <xf numFmtId="0" fontId="21" fillId="0" borderId="23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23" fillId="0" borderId="35" xfId="0" applyFont="1" applyBorder="1" applyAlignment="1">
      <alignment horizontal="left" vertical="center" wrapText="1"/>
    </xf>
    <xf numFmtId="0" fontId="21" fillId="0" borderId="36" xfId="0" applyFont="1" applyBorder="1" applyAlignment="1">
      <alignment wrapText="1"/>
    </xf>
    <xf numFmtId="0" fontId="21" fillId="2" borderId="36" xfId="0" applyFont="1" applyFill="1" applyBorder="1" applyAlignment="1">
      <alignment wrapText="1"/>
    </xf>
    <xf numFmtId="2" fontId="21" fillId="0" borderId="37" xfId="0" applyNumberFormat="1" applyFont="1" applyBorder="1" applyAlignment="1">
      <alignment horizontal="right" wrapText="1"/>
    </xf>
    <xf numFmtId="2" fontId="21" fillId="0" borderId="38" xfId="0" applyNumberFormat="1" applyFont="1" applyBorder="1" applyAlignment="1">
      <alignment horizontal="right" wrapText="1"/>
    </xf>
    <xf numFmtId="2" fontId="21" fillId="0" borderId="39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0" fontId="23" fillId="0" borderId="27" xfId="0" applyFont="1" applyBorder="1" applyAlignment="1">
      <alignment horizontal="center" vertical="center" wrapText="1"/>
    </xf>
    <xf numFmtId="0" fontId="25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41" xfId="0" applyBorder="1" applyAlignment="1">
      <alignment/>
    </xf>
    <xf numFmtId="0" fontId="0" fillId="2" borderId="27" xfId="0" applyFill="1" applyBorder="1" applyAlignment="1">
      <alignment/>
    </xf>
    <xf numFmtId="0" fontId="19" fillId="0" borderId="35" xfId="0" applyFont="1" applyBorder="1" applyAlignment="1">
      <alignment horizontal="center" vertical="center" wrapText="1"/>
    </xf>
    <xf numFmtId="0" fontId="21" fillId="0" borderId="38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36" xfId="0" applyFont="1" applyBorder="1" applyAlignment="1">
      <alignment/>
    </xf>
    <xf numFmtId="0" fontId="20" fillId="2" borderId="36" xfId="0" applyFont="1" applyFill="1" applyBorder="1" applyAlignment="1">
      <alignment/>
    </xf>
    <xf numFmtId="2" fontId="21" fillId="0" borderId="26" xfId="0" applyNumberFormat="1" applyFont="1" applyBorder="1" applyAlignment="1">
      <alignment horizontal="right" wrapText="1"/>
    </xf>
    <xf numFmtId="2" fontId="21" fillId="0" borderId="36" xfId="0" applyNumberFormat="1" applyFont="1" applyBorder="1" applyAlignment="1">
      <alignment horizontal="right" wrapText="1"/>
    </xf>
    <xf numFmtId="0" fontId="26" fillId="0" borderId="37" xfId="0" applyFont="1" applyBorder="1" applyAlignment="1">
      <alignment wrapText="1"/>
    </xf>
    <xf numFmtId="0" fontId="26" fillId="0" borderId="32" xfId="0" applyFont="1" applyBorder="1" applyAlignment="1">
      <alignment wrapText="1"/>
    </xf>
    <xf numFmtId="0" fontId="21" fillId="0" borderId="42" xfId="0" applyFont="1" applyBorder="1" applyAlignment="1">
      <alignment wrapText="1"/>
    </xf>
    <xf numFmtId="0" fontId="20" fillId="2" borderId="35" xfId="0" applyFont="1" applyFill="1" applyBorder="1" applyAlignment="1">
      <alignment/>
    </xf>
    <xf numFmtId="0" fontId="19" fillId="0" borderId="42" xfId="0" applyFont="1" applyBorder="1" applyAlignment="1">
      <alignment horizontal="center" vertical="center" wrapText="1"/>
    </xf>
    <xf numFmtId="0" fontId="26" fillId="0" borderId="43" xfId="0" applyFont="1" applyBorder="1" applyAlignment="1">
      <alignment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 horizontal="right" wrapText="1"/>
    </xf>
    <xf numFmtId="2" fontId="21" fillId="0" borderId="46" xfId="0" applyNumberFormat="1" applyFont="1" applyBorder="1" applyAlignment="1">
      <alignment horizontal="right" wrapText="1"/>
    </xf>
    <xf numFmtId="2" fontId="21" fillId="0" borderId="18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2" fontId="21" fillId="0" borderId="11" xfId="0" applyNumberFormat="1" applyFont="1" applyBorder="1" applyAlignment="1">
      <alignment/>
    </xf>
    <xf numFmtId="0" fontId="25" fillId="0" borderId="32" xfId="0" applyFont="1" applyBorder="1" applyAlignment="1">
      <alignment/>
    </xf>
    <xf numFmtId="0" fontId="25" fillId="0" borderId="35" xfId="0" applyFont="1" applyBorder="1" applyAlignment="1">
      <alignment/>
    </xf>
    <xf numFmtId="2" fontId="25" fillId="0" borderId="35" xfId="0" applyNumberFormat="1" applyFont="1" applyBorder="1" applyAlignment="1">
      <alignment/>
    </xf>
    <xf numFmtId="0" fontId="26" fillId="0" borderId="47" xfId="0" applyFont="1" applyBorder="1" applyAlignment="1">
      <alignment wrapText="1"/>
    </xf>
    <xf numFmtId="2" fontId="21" fillId="0" borderId="26" xfId="0" applyNumberFormat="1" applyFont="1" applyBorder="1" applyAlignment="1">
      <alignment/>
    </xf>
    <xf numFmtId="2" fontId="21" fillId="0" borderId="23" xfId="0" applyNumberFormat="1" applyFont="1" applyBorder="1" applyAlignment="1">
      <alignment/>
    </xf>
    <xf numFmtId="0" fontId="26" fillId="0" borderId="38" xfId="0" applyFont="1" applyBorder="1" applyAlignment="1">
      <alignment wrapText="1"/>
    </xf>
    <xf numFmtId="2" fontId="21" fillId="0" borderId="36" xfId="0" applyNumberFormat="1" applyFont="1" applyBorder="1" applyAlignment="1">
      <alignment/>
    </xf>
    <xf numFmtId="49" fontId="22" fillId="0" borderId="33" xfId="0" applyNumberFormat="1" applyFont="1" applyBorder="1" applyAlignment="1">
      <alignment horizontal="center"/>
    </xf>
    <xf numFmtId="0" fontId="19" fillId="0" borderId="27" xfId="0" applyFont="1" applyBorder="1" applyAlignment="1">
      <alignment wrapText="1"/>
    </xf>
    <xf numFmtId="0" fontId="27" fillId="0" borderId="23" xfId="0" applyFont="1" applyBorder="1" applyAlignment="1">
      <alignment/>
    </xf>
    <xf numFmtId="0" fontId="27" fillId="0" borderId="35" xfId="0" applyFont="1" applyBorder="1" applyAlignment="1">
      <alignment/>
    </xf>
    <xf numFmtId="0" fontId="27" fillId="0" borderId="42" xfId="0" applyFont="1" applyBorder="1" applyAlignment="1">
      <alignment/>
    </xf>
    <xf numFmtId="0" fontId="27" fillId="0" borderId="11" xfId="0" applyFont="1" applyBorder="1" applyAlignment="1">
      <alignment/>
    </xf>
    <xf numFmtId="0" fontId="28" fillId="0" borderId="35" xfId="0" applyFont="1" applyBorder="1" applyAlignment="1">
      <alignment/>
    </xf>
    <xf numFmtId="0" fontId="22" fillId="0" borderId="0" xfId="0" applyFont="1" applyAlignment="1">
      <alignment/>
    </xf>
    <xf numFmtId="0" fontId="27" fillId="0" borderId="35" xfId="0" applyFont="1" applyBorder="1" applyAlignment="1">
      <alignment wrapText="1"/>
    </xf>
    <xf numFmtId="0" fontId="27" fillId="0" borderId="23" xfId="0" applyFont="1" applyBorder="1" applyAlignment="1">
      <alignment wrapText="1"/>
    </xf>
    <xf numFmtId="2" fontId="27" fillId="0" borderId="23" xfId="0" applyNumberFormat="1" applyFont="1" applyBorder="1" applyAlignment="1">
      <alignment/>
    </xf>
    <xf numFmtId="2" fontId="27" fillId="0" borderId="35" xfId="0" applyNumberFormat="1" applyFont="1" applyBorder="1" applyAlignment="1">
      <alignment/>
    </xf>
    <xf numFmtId="2" fontId="27" fillId="0" borderId="11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0" fontId="22" fillId="0" borderId="27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tabSelected="1" zoomScalePageLayoutView="0" workbookViewId="0" topLeftCell="A10">
      <selection activeCell="B20" sqref="B20"/>
    </sheetView>
  </sheetViews>
  <sheetFormatPr defaultColWidth="9.00390625" defaultRowHeight="12.75"/>
  <cols>
    <col min="1" max="1" width="3.125" style="29" customWidth="1"/>
    <col min="2" max="2" width="20.375" style="0" customWidth="1"/>
    <col min="3" max="3" width="6.875" style="0" hidden="1" customWidth="1"/>
    <col min="4" max="4" width="7.375" style="0" hidden="1" customWidth="1"/>
    <col min="5" max="5" width="8.00390625" style="0" hidden="1" customWidth="1"/>
    <col min="6" max="6" width="9.00390625" style="0" hidden="1" customWidth="1"/>
    <col min="7" max="7" width="8.75390625" style="0" hidden="1" customWidth="1"/>
    <col min="8" max="9" width="9.00390625" style="0" hidden="1" customWidth="1"/>
    <col min="10" max="11" width="10.125" style="0" hidden="1" customWidth="1"/>
    <col min="12" max="12" width="8.875" style="0" customWidth="1"/>
    <col min="13" max="13" width="8.375" style="0" customWidth="1"/>
    <col min="14" max="14" width="8.00390625" style="0" customWidth="1"/>
    <col min="15" max="15" width="8.125" style="0" customWidth="1"/>
    <col min="16" max="16" width="8.25390625" style="0" customWidth="1"/>
    <col min="17" max="17" width="8.625" style="0" customWidth="1"/>
    <col min="18" max="18" width="8.125" style="0" customWidth="1"/>
    <col min="19" max="19" width="8.00390625" style="0" customWidth="1"/>
    <col min="20" max="22" width="8.375" style="0" customWidth="1"/>
    <col min="23" max="23" width="8.125" style="0" customWidth="1"/>
    <col min="24" max="24" width="9.00390625" style="0" customWidth="1"/>
    <col min="25" max="25" width="9.75390625" style="0" customWidth="1"/>
  </cols>
  <sheetData>
    <row r="1" spans="2:30" ht="12.75" customHeight="1">
      <c r="B1" s="105" t="s">
        <v>7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 customHeight="1">
      <c r="B2" s="105" t="s">
        <v>55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4"/>
      <c r="X2" s="4"/>
      <c r="Y2" s="4"/>
      <c r="Z2" s="4"/>
      <c r="AA2" s="4"/>
      <c r="AB2" s="4"/>
      <c r="AC2" s="4"/>
      <c r="AD2" s="4"/>
    </row>
    <row r="3" spans="2:30" ht="12.75" customHeight="1">
      <c r="B3" s="104" t="s">
        <v>0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3"/>
      <c r="AA3" s="3"/>
      <c r="AB3" s="3"/>
      <c r="AC3" s="3"/>
      <c r="AD3" s="3"/>
    </row>
    <row r="4" spans="2:30" ht="12.75" customHeight="1">
      <c r="B4" s="103" t="s">
        <v>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2"/>
      <c r="AA4" s="2"/>
      <c r="AB4" s="2"/>
      <c r="AC4" s="2"/>
      <c r="AD4" s="2"/>
    </row>
    <row r="5" spans="2:30" ht="16.5" customHeight="1" thickBot="1">
      <c r="B5" s="103" t="s">
        <v>42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2"/>
      <c r="AA5" s="2"/>
      <c r="AB5" s="2"/>
      <c r="AC5" s="2"/>
      <c r="AD5" s="2"/>
    </row>
    <row r="6" spans="1:30" ht="39" customHeight="1" thickBot="1">
      <c r="A6" s="38" t="s">
        <v>26</v>
      </c>
      <c r="B6" s="30" t="s">
        <v>5</v>
      </c>
      <c r="C6" s="42" t="s">
        <v>45</v>
      </c>
      <c r="D6" s="46" t="s">
        <v>46</v>
      </c>
      <c r="E6" s="71" t="s">
        <v>47</v>
      </c>
      <c r="F6" s="60" t="s">
        <v>50</v>
      </c>
      <c r="G6" s="60" t="s">
        <v>56</v>
      </c>
      <c r="H6" s="71" t="s">
        <v>57</v>
      </c>
      <c r="I6" s="60" t="s">
        <v>59</v>
      </c>
      <c r="J6" s="60" t="s">
        <v>69</v>
      </c>
      <c r="K6" s="60" t="s">
        <v>70</v>
      </c>
      <c r="L6" s="6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17</v>
      </c>
      <c r="T6" s="5" t="s">
        <v>18</v>
      </c>
      <c r="U6" s="5" t="s">
        <v>19</v>
      </c>
      <c r="V6" s="5" t="s">
        <v>21</v>
      </c>
      <c r="W6" s="17" t="s">
        <v>20</v>
      </c>
      <c r="X6" s="60" t="s">
        <v>75</v>
      </c>
      <c r="Y6" s="55" t="s">
        <v>76</v>
      </c>
      <c r="Z6" s="1"/>
      <c r="AA6" s="1"/>
      <c r="AB6" s="1"/>
      <c r="AC6" s="1"/>
      <c r="AD6" s="1"/>
    </row>
    <row r="7" spans="1:25" ht="13.5" thickBot="1">
      <c r="A7" s="39" t="s">
        <v>27</v>
      </c>
      <c r="B7" s="31" t="s">
        <v>1</v>
      </c>
      <c r="C7" s="67">
        <v>26272.44</v>
      </c>
      <c r="D7" s="68">
        <v>105160.6</v>
      </c>
      <c r="E7" s="72">
        <v>112898.72</v>
      </c>
      <c r="F7" s="68">
        <v>134764.12</v>
      </c>
      <c r="G7" s="68">
        <v>141366.72</v>
      </c>
      <c r="H7" s="83">
        <v>141368.78</v>
      </c>
      <c r="I7" s="68">
        <v>141329.4</v>
      </c>
      <c r="J7" s="72">
        <v>141329.4</v>
      </c>
      <c r="K7" s="68">
        <v>118686.36</v>
      </c>
      <c r="L7" s="7">
        <v>9890.53</v>
      </c>
      <c r="M7" s="8">
        <v>9890.53</v>
      </c>
      <c r="N7" s="8">
        <v>9890.53</v>
      </c>
      <c r="O7" s="8">
        <v>9890.53</v>
      </c>
      <c r="P7" s="8">
        <v>9890.53</v>
      </c>
      <c r="Q7" s="8">
        <v>9890.53</v>
      </c>
      <c r="R7" s="8">
        <v>9890.53</v>
      </c>
      <c r="S7" s="8">
        <v>9890.53</v>
      </c>
      <c r="T7" s="8">
        <v>9890.53</v>
      </c>
      <c r="U7" s="8">
        <v>9890.53</v>
      </c>
      <c r="V7" s="8">
        <v>9890.53</v>
      </c>
      <c r="W7" s="8">
        <v>9890.53</v>
      </c>
      <c r="X7" s="61">
        <f>SUM(L7:W7)</f>
        <v>118686.36</v>
      </c>
      <c r="Y7" s="80">
        <f>SUM(C7:W7)</f>
        <v>1181862.9000000004</v>
      </c>
    </row>
    <row r="8" spans="1:25" ht="13.5" thickBot="1">
      <c r="A8" s="39"/>
      <c r="B8" s="31" t="s">
        <v>71</v>
      </c>
      <c r="C8" s="67"/>
      <c r="D8" s="86"/>
      <c r="E8" s="72"/>
      <c r="F8" s="86"/>
      <c r="G8" s="86"/>
      <c r="H8" s="72"/>
      <c r="I8" s="86"/>
      <c r="J8" s="72">
        <v>0</v>
      </c>
      <c r="K8" s="86">
        <v>10847.92</v>
      </c>
      <c r="L8" s="7">
        <f aca="true" t="shared" si="0" ref="L8:Q8">720.37+33.82+37.65+150.63</f>
        <v>942.47</v>
      </c>
      <c r="M8" s="8">
        <f t="shared" si="0"/>
        <v>942.47</v>
      </c>
      <c r="N8" s="8">
        <f t="shared" si="0"/>
        <v>942.47</v>
      </c>
      <c r="O8" s="8">
        <f t="shared" si="0"/>
        <v>942.47</v>
      </c>
      <c r="P8" s="8">
        <f t="shared" si="0"/>
        <v>942.47</v>
      </c>
      <c r="Q8" s="8">
        <f t="shared" si="0"/>
        <v>942.47</v>
      </c>
      <c r="R8" s="8">
        <f>756.05+34.03+38.62+155.5</f>
        <v>984.1999999999999</v>
      </c>
      <c r="S8" s="8">
        <f>34.03+38.62+155.5</f>
        <v>228.15</v>
      </c>
      <c r="T8" s="8">
        <f>34.03+38.62+155.5</f>
        <v>228.15</v>
      </c>
      <c r="U8" s="8">
        <f>34.03+38.62+155.5</f>
        <v>228.15</v>
      </c>
      <c r="V8" s="8">
        <f>34.03+38.62+155.5</f>
        <v>228.15</v>
      </c>
      <c r="W8" s="8">
        <f>34.03+38.62+155.5</f>
        <v>228.15</v>
      </c>
      <c r="X8" s="61">
        <f>SUM(L8:W8)</f>
        <v>7779.769999999999</v>
      </c>
      <c r="Y8" s="80">
        <f>SUM(C8:W8)</f>
        <v>18627.690000000006</v>
      </c>
    </row>
    <row r="9" spans="1:25" ht="11.25" customHeight="1" thickBot="1">
      <c r="A9" s="39"/>
      <c r="B9" s="31" t="s">
        <v>72</v>
      </c>
      <c r="C9" s="67"/>
      <c r="D9" s="86"/>
      <c r="E9" s="72"/>
      <c r="F9" s="86"/>
      <c r="G9" s="86"/>
      <c r="H9" s="72"/>
      <c r="I9" s="86"/>
      <c r="J9" s="72">
        <v>0</v>
      </c>
      <c r="K9" s="86">
        <v>27627.81</v>
      </c>
      <c r="L9" s="7">
        <v>2325.86</v>
      </c>
      <c r="M9" s="8">
        <v>2325.86</v>
      </c>
      <c r="N9" s="8">
        <v>2325.86</v>
      </c>
      <c r="O9" s="8">
        <v>2325.86</v>
      </c>
      <c r="P9" s="8">
        <v>2325.86</v>
      </c>
      <c r="Q9" s="8">
        <v>2325.86</v>
      </c>
      <c r="R9" s="8">
        <v>2335.14</v>
      </c>
      <c r="S9" s="8">
        <v>2335.14</v>
      </c>
      <c r="T9" s="8">
        <v>2335.14</v>
      </c>
      <c r="U9" s="8">
        <v>2335.14</v>
      </c>
      <c r="V9" s="8">
        <v>2335.14</v>
      </c>
      <c r="W9" s="8">
        <v>2335.14</v>
      </c>
      <c r="X9" s="61">
        <f>SUM(L9:W9)</f>
        <v>27966</v>
      </c>
      <c r="Y9" s="80">
        <f>SUM(C9:W9)</f>
        <v>55593.81</v>
      </c>
    </row>
    <row r="10" spans="1:25" s="95" customFormat="1" ht="13.5" thickBot="1">
      <c r="A10" s="88" t="s">
        <v>28</v>
      </c>
      <c r="B10" s="89" t="s">
        <v>2</v>
      </c>
      <c r="C10" s="90">
        <f aca="true" t="shared" si="1" ref="C10:L10">SUM(C11:C24)</f>
        <v>16877.969999999998</v>
      </c>
      <c r="D10" s="91">
        <f t="shared" si="1"/>
        <v>130518.99</v>
      </c>
      <c r="E10" s="90">
        <f t="shared" si="1"/>
        <v>98324.77</v>
      </c>
      <c r="F10" s="91">
        <f t="shared" si="1"/>
        <v>105887.55000000002</v>
      </c>
      <c r="G10" s="91">
        <f t="shared" si="1"/>
        <v>111801.95000000001</v>
      </c>
      <c r="H10" s="92">
        <f>SUM(H11:H24)</f>
        <v>99829.67</v>
      </c>
      <c r="I10" s="91">
        <f>SUM(I11:I24)</f>
        <v>111725.45000000001</v>
      </c>
      <c r="J10" s="90">
        <f>SUM(J11:J24)</f>
        <v>102565.65</v>
      </c>
      <c r="K10" s="91">
        <f>SUM(K11:K24)</f>
        <v>125771.11</v>
      </c>
      <c r="L10" s="93">
        <f t="shared" si="1"/>
        <v>11946.4</v>
      </c>
      <c r="M10" s="93">
        <f aca="true" t="shared" si="2" ref="M10:W10">SUM(M11:M24)</f>
        <v>11248.45</v>
      </c>
      <c r="N10" s="93">
        <f t="shared" si="2"/>
        <v>12681.68</v>
      </c>
      <c r="O10" s="93">
        <f t="shared" si="2"/>
        <v>9287.68</v>
      </c>
      <c r="P10" s="93">
        <f t="shared" si="2"/>
        <v>8941.51</v>
      </c>
      <c r="Q10" s="93">
        <f t="shared" si="2"/>
        <v>9062.6</v>
      </c>
      <c r="R10" s="93">
        <f t="shared" si="2"/>
        <v>11361.589999999998</v>
      </c>
      <c r="S10" s="93">
        <f t="shared" si="2"/>
        <v>8358.49</v>
      </c>
      <c r="T10" s="93">
        <f t="shared" si="2"/>
        <v>11208.649999999998</v>
      </c>
      <c r="U10" s="93">
        <f t="shared" si="2"/>
        <v>8260.07</v>
      </c>
      <c r="V10" s="93">
        <f t="shared" si="2"/>
        <v>8645.14</v>
      </c>
      <c r="W10" s="90">
        <f t="shared" si="2"/>
        <v>9890.070000000002</v>
      </c>
      <c r="X10" s="91">
        <f>SUM(L10:W10)</f>
        <v>120892.33</v>
      </c>
      <c r="Y10" s="94">
        <f>SUM(C10:W10)</f>
        <v>1024195.4400000001</v>
      </c>
    </row>
    <row r="11" spans="1:25" ht="13.5" thickBot="1">
      <c r="A11" s="39" t="s">
        <v>29</v>
      </c>
      <c r="B11" s="32" t="s">
        <v>4</v>
      </c>
      <c r="C11" s="49">
        <v>4098.11</v>
      </c>
      <c r="D11" s="50">
        <v>17306.82</v>
      </c>
      <c r="E11" s="73">
        <v>17863.93</v>
      </c>
      <c r="F11" s="50">
        <v>18354.11</v>
      </c>
      <c r="G11" s="50">
        <v>19318.09</v>
      </c>
      <c r="H11" s="73">
        <v>21709.08</v>
      </c>
      <c r="I11" s="50">
        <v>21064.29</v>
      </c>
      <c r="J11" s="73">
        <v>21279.12</v>
      </c>
      <c r="K11" s="50">
        <v>21800.46</v>
      </c>
      <c r="L11" s="7">
        <f>1696+66.64</f>
        <v>1762.64</v>
      </c>
      <c r="M11" s="8">
        <f>1696+73.1</f>
        <v>1769.1</v>
      </c>
      <c r="N11" s="8">
        <f>1696+51.91</f>
        <v>1747.91</v>
      </c>
      <c r="O11" s="8">
        <f>1696+146.23</f>
        <v>1842.23</v>
      </c>
      <c r="P11" s="8">
        <f>1696+136.63</f>
        <v>1832.63</v>
      </c>
      <c r="Q11" s="8">
        <f>1696+140.33</f>
        <v>1836.33</v>
      </c>
      <c r="R11" s="8">
        <f>1696+119.75</f>
        <v>1815.75</v>
      </c>
      <c r="S11" s="8">
        <f>1696+151.4</f>
        <v>1847.4</v>
      </c>
      <c r="T11" s="8">
        <f>1696+112.54</f>
        <v>1808.54</v>
      </c>
      <c r="U11" s="8">
        <f>1696+91.31</f>
        <v>1787.31</v>
      </c>
      <c r="V11" s="8">
        <f>1696+106</f>
        <v>1802</v>
      </c>
      <c r="W11" s="18">
        <f>1749+100.22</f>
        <v>1849.22</v>
      </c>
      <c r="X11" s="62">
        <f aca="true" t="shared" si="3" ref="X11:X26">SUM(L11:W11)</f>
        <v>21701.06</v>
      </c>
      <c r="Y11" s="81">
        <f aca="true" t="shared" si="4" ref="Y11:Y24">SUM(C11:W11)</f>
        <v>184495.07</v>
      </c>
    </row>
    <row r="12" spans="1:25" ht="14.25" customHeight="1" thickBot="1">
      <c r="A12" s="39" t="s">
        <v>30</v>
      </c>
      <c r="B12" s="33" t="s">
        <v>60</v>
      </c>
      <c r="C12" s="51">
        <v>9591.97</v>
      </c>
      <c r="D12" s="52">
        <v>28631.97</v>
      </c>
      <c r="E12" s="74">
        <v>9602.55</v>
      </c>
      <c r="F12" s="52">
        <f>2999.14+630</f>
        <v>3629.14</v>
      </c>
      <c r="G12" s="52">
        <v>8114.59</v>
      </c>
      <c r="H12" s="74">
        <v>320</v>
      </c>
      <c r="I12" s="52">
        <v>3093.07</v>
      </c>
      <c r="J12" s="74">
        <v>3056.75</v>
      </c>
      <c r="K12" s="52">
        <v>1800</v>
      </c>
      <c r="L12" s="9">
        <v>2500</v>
      </c>
      <c r="M12" s="10">
        <v>1900</v>
      </c>
      <c r="N12" s="10">
        <v>180</v>
      </c>
      <c r="O12" s="10"/>
      <c r="P12" s="10"/>
      <c r="Q12" s="10"/>
      <c r="R12" s="10"/>
      <c r="S12" s="10"/>
      <c r="T12" s="10">
        <v>2400</v>
      </c>
      <c r="U12" s="10"/>
      <c r="V12" s="10"/>
      <c r="W12" s="19"/>
      <c r="X12" s="62">
        <f t="shared" si="3"/>
        <v>6980</v>
      </c>
      <c r="Y12" s="82">
        <f>SUM(C12:W12)</f>
        <v>74820.04000000001</v>
      </c>
    </row>
    <row r="13" spans="1:25" ht="15" customHeight="1" thickBot="1">
      <c r="A13" s="39" t="s">
        <v>64</v>
      </c>
      <c r="B13" s="33" t="s">
        <v>65</v>
      </c>
      <c r="C13" s="51"/>
      <c r="D13" s="52"/>
      <c r="E13" s="74"/>
      <c r="F13" s="52"/>
      <c r="G13" s="52"/>
      <c r="H13" s="74"/>
      <c r="I13" s="52">
        <v>500</v>
      </c>
      <c r="J13" s="74">
        <v>1600</v>
      </c>
      <c r="K13" s="52">
        <v>1400</v>
      </c>
      <c r="L13" s="9"/>
      <c r="M13" s="10"/>
      <c r="N13" s="10"/>
      <c r="O13" s="10"/>
      <c r="P13" s="10"/>
      <c r="Q13" s="10"/>
      <c r="R13" s="10">
        <v>1000</v>
      </c>
      <c r="S13" s="10"/>
      <c r="T13" s="10"/>
      <c r="U13" s="10"/>
      <c r="V13" s="10"/>
      <c r="W13" s="19"/>
      <c r="X13" s="62">
        <f>SUM(L13:W13)</f>
        <v>1000</v>
      </c>
      <c r="Y13" s="82">
        <f>SUM(C13:W13)</f>
        <v>4500</v>
      </c>
    </row>
    <row r="14" spans="1:25" ht="22.5" customHeight="1" thickBot="1">
      <c r="A14" s="39" t="s">
        <v>66</v>
      </c>
      <c r="B14" s="33" t="s">
        <v>67</v>
      </c>
      <c r="C14" s="51"/>
      <c r="D14" s="52"/>
      <c r="E14" s="74"/>
      <c r="F14" s="52"/>
      <c r="G14" s="52"/>
      <c r="H14" s="74"/>
      <c r="I14" s="52">
        <v>4199.8</v>
      </c>
      <c r="J14" s="74">
        <v>0</v>
      </c>
      <c r="K14" s="52">
        <v>0</v>
      </c>
      <c r="L14" s="9"/>
      <c r="M14" s="10"/>
      <c r="N14" s="10">
        <v>3232.7</v>
      </c>
      <c r="O14" s="10"/>
      <c r="P14" s="10"/>
      <c r="Q14" s="10"/>
      <c r="R14" s="10"/>
      <c r="S14" s="10"/>
      <c r="T14" s="10"/>
      <c r="U14" s="10"/>
      <c r="V14" s="10"/>
      <c r="W14" s="19"/>
      <c r="X14" s="62">
        <f>SUM(L14:W14)</f>
        <v>3232.7</v>
      </c>
      <c r="Y14" s="82">
        <f>SUM(C14:W14)</f>
        <v>7432.5</v>
      </c>
    </row>
    <row r="15" spans="1:25" ht="15.75" customHeight="1" thickBot="1">
      <c r="A15" s="39" t="s">
        <v>31</v>
      </c>
      <c r="B15" s="33" t="s">
        <v>53</v>
      </c>
      <c r="C15" s="51">
        <v>111.49</v>
      </c>
      <c r="D15" s="52">
        <v>34667.19</v>
      </c>
      <c r="E15" s="74">
        <v>7214.87</v>
      </c>
      <c r="F15" s="52">
        <v>13414.36</v>
      </c>
      <c r="G15" s="52">
        <v>12305.63</v>
      </c>
      <c r="H15" s="74">
        <v>8195.05</v>
      </c>
      <c r="I15" s="52">
        <v>6383.74</v>
      </c>
      <c r="J15" s="74">
        <v>4270.65</v>
      </c>
      <c r="K15" s="52">
        <v>13840.15</v>
      </c>
      <c r="L15" s="9">
        <f>26+45</f>
        <v>71</v>
      </c>
      <c r="M15" s="10">
        <v>75</v>
      </c>
      <c r="N15" s="10">
        <v>100</v>
      </c>
      <c r="O15" s="10">
        <v>175</v>
      </c>
      <c r="P15" s="10"/>
      <c r="Q15" s="10"/>
      <c r="R15" s="10">
        <v>531.79</v>
      </c>
      <c r="S15" s="10"/>
      <c r="T15" s="10">
        <v>812.35</v>
      </c>
      <c r="U15" s="10"/>
      <c r="V15" s="10"/>
      <c r="W15" s="19">
        <v>659.1</v>
      </c>
      <c r="X15" s="62">
        <f t="shared" si="3"/>
        <v>2424.24</v>
      </c>
      <c r="Y15" s="81">
        <f t="shared" si="4"/>
        <v>102827.37000000001</v>
      </c>
    </row>
    <row r="16" spans="1:25" ht="22.5" customHeight="1" thickBot="1">
      <c r="A16" s="39" t="s">
        <v>32</v>
      </c>
      <c r="B16" s="33" t="s">
        <v>49</v>
      </c>
      <c r="C16" s="51">
        <v>0</v>
      </c>
      <c r="D16" s="52">
        <v>0</v>
      </c>
      <c r="E16" s="74">
        <v>0</v>
      </c>
      <c r="F16" s="52">
        <v>256</v>
      </c>
      <c r="G16" s="52">
        <v>0</v>
      </c>
      <c r="H16" s="74">
        <v>663</v>
      </c>
      <c r="I16" s="52">
        <v>0</v>
      </c>
      <c r="J16" s="74">
        <v>186</v>
      </c>
      <c r="K16" s="52">
        <v>80.96</v>
      </c>
      <c r="L16" s="9"/>
      <c r="M16" s="10">
        <v>78</v>
      </c>
      <c r="N16" s="10"/>
      <c r="O16" s="10"/>
      <c r="P16" s="10"/>
      <c r="Q16" s="10"/>
      <c r="R16" s="10">
        <v>550</v>
      </c>
      <c r="S16" s="10"/>
      <c r="T16" s="10"/>
      <c r="U16" s="10"/>
      <c r="V16" s="10"/>
      <c r="W16" s="19"/>
      <c r="X16" s="62">
        <f t="shared" si="3"/>
        <v>628</v>
      </c>
      <c r="Y16" s="81">
        <f t="shared" si="4"/>
        <v>1813.96</v>
      </c>
    </row>
    <row r="17" spans="1:25" ht="15.75" customHeight="1" thickBot="1">
      <c r="A17" s="39" t="s">
        <v>33</v>
      </c>
      <c r="B17" s="33" t="s">
        <v>73</v>
      </c>
      <c r="C17" s="51">
        <v>1679.56</v>
      </c>
      <c r="D17" s="52">
        <v>6236.66</v>
      </c>
      <c r="E17" s="74">
        <v>6190.81</v>
      </c>
      <c r="F17" s="52">
        <v>4449.16</v>
      </c>
      <c r="G17" s="52">
        <v>0</v>
      </c>
      <c r="H17" s="74"/>
      <c r="I17" s="52">
        <v>0</v>
      </c>
      <c r="J17" s="74">
        <v>0</v>
      </c>
      <c r="K17" s="52">
        <v>8070.63</v>
      </c>
      <c r="L17" s="9">
        <v>720.37</v>
      </c>
      <c r="M17" s="10">
        <v>720.37</v>
      </c>
      <c r="N17" s="10">
        <v>720.37</v>
      </c>
      <c r="O17" s="10">
        <v>720.37</v>
      </c>
      <c r="P17" s="10">
        <v>720.37</v>
      </c>
      <c r="Q17" s="10">
        <v>720.37</v>
      </c>
      <c r="R17" s="10">
        <v>756.05</v>
      </c>
      <c r="S17" s="10"/>
      <c r="T17" s="10"/>
      <c r="U17" s="10"/>
      <c r="V17" s="10"/>
      <c r="W17" s="19"/>
      <c r="X17" s="62">
        <f t="shared" si="3"/>
        <v>5078.27</v>
      </c>
      <c r="Y17" s="81">
        <f t="shared" si="4"/>
        <v>31705.089999999993</v>
      </c>
    </row>
    <row r="18" spans="1:25" ht="15.75" customHeight="1" thickBot="1">
      <c r="A18" s="39"/>
      <c r="B18" s="33" t="s">
        <v>74</v>
      </c>
      <c r="C18" s="51"/>
      <c r="D18" s="52"/>
      <c r="E18" s="74"/>
      <c r="F18" s="52"/>
      <c r="G18" s="52"/>
      <c r="H18" s="74"/>
      <c r="I18" s="52"/>
      <c r="J18" s="74"/>
      <c r="K18" s="52">
        <v>2440.5</v>
      </c>
      <c r="L18" s="9">
        <v>182.98</v>
      </c>
      <c r="M18" s="10">
        <v>182.98</v>
      </c>
      <c r="N18" s="10">
        <v>182.98</v>
      </c>
      <c r="O18" s="10">
        <v>182.98</v>
      </c>
      <c r="P18" s="10">
        <v>182.98</v>
      </c>
      <c r="Q18" s="10">
        <v>156.64</v>
      </c>
      <c r="R18" s="10">
        <v>111</v>
      </c>
      <c r="S18" s="10">
        <v>188.94</v>
      </c>
      <c r="T18" s="10">
        <v>188.94</v>
      </c>
      <c r="U18" s="10">
        <v>188.94</v>
      </c>
      <c r="V18" s="10">
        <v>187.9</v>
      </c>
      <c r="W18" s="19">
        <v>188.94</v>
      </c>
      <c r="X18" s="62">
        <f>SUM(L18:W18)</f>
        <v>2126.2000000000003</v>
      </c>
      <c r="Y18" s="81">
        <f>SUM(C18:W18)</f>
        <v>4566.699999999999</v>
      </c>
    </row>
    <row r="19" spans="1:25" ht="14.25" customHeight="1" thickBot="1">
      <c r="A19" s="39" t="s">
        <v>34</v>
      </c>
      <c r="B19" s="33" t="s">
        <v>77</v>
      </c>
      <c r="C19" s="51">
        <v>126.36</v>
      </c>
      <c r="D19" s="52">
        <v>851.33</v>
      </c>
      <c r="E19" s="74">
        <v>264.05</v>
      </c>
      <c r="F19" s="52">
        <v>172.46</v>
      </c>
      <c r="G19" s="52">
        <v>188.07</v>
      </c>
      <c r="H19" s="74">
        <v>178.65</v>
      </c>
      <c r="I19" s="52">
        <v>398.7</v>
      </c>
      <c r="J19" s="74">
        <v>330.59</v>
      </c>
      <c r="K19" s="52">
        <v>694.99</v>
      </c>
      <c r="L19" s="9"/>
      <c r="M19" s="10"/>
      <c r="N19" s="10">
        <v>110.33</v>
      </c>
      <c r="O19" s="10"/>
      <c r="P19" s="10"/>
      <c r="Q19" s="10">
        <v>110.33</v>
      </c>
      <c r="R19" s="10"/>
      <c r="S19" s="10"/>
      <c r="T19" s="10">
        <v>132.4</v>
      </c>
      <c r="U19" s="10"/>
      <c r="V19" s="10"/>
      <c r="W19" s="19">
        <v>147.14</v>
      </c>
      <c r="X19" s="62">
        <f t="shared" si="3"/>
        <v>500.2</v>
      </c>
      <c r="Y19" s="81">
        <f t="shared" si="4"/>
        <v>3705.3999999999996</v>
      </c>
    </row>
    <row r="20" spans="1:25" ht="34.5" customHeight="1" thickBot="1">
      <c r="A20" s="39" t="s">
        <v>35</v>
      </c>
      <c r="B20" s="33" t="s">
        <v>61</v>
      </c>
      <c r="C20" s="51">
        <v>0</v>
      </c>
      <c r="D20" s="52">
        <v>1296.9</v>
      </c>
      <c r="E20" s="74">
        <v>4634.37</v>
      </c>
      <c r="F20" s="52">
        <v>6954.3</v>
      </c>
      <c r="G20" s="52">
        <v>8877.23</v>
      </c>
      <c r="H20" s="74">
        <v>3895.24</v>
      </c>
      <c r="I20" s="52">
        <v>4592.61</v>
      </c>
      <c r="J20" s="74">
        <v>4856.55</v>
      </c>
      <c r="K20" s="52">
        <v>4934.06</v>
      </c>
      <c r="L20" s="9">
        <v>430.36</v>
      </c>
      <c r="M20" s="10">
        <v>394.81</v>
      </c>
      <c r="N20" s="10">
        <v>526.52</v>
      </c>
      <c r="O20" s="10">
        <v>410.58</v>
      </c>
      <c r="P20" s="10">
        <v>345.33</v>
      </c>
      <c r="Q20" s="10">
        <v>500.51</v>
      </c>
      <c r="R20" s="10">
        <v>407.13</v>
      </c>
      <c r="S20" s="10">
        <v>416.36</v>
      </c>
      <c r="T20" s="10">
        <v>342.19</v>
      </c>
      <c r="U20" s="10">
        <v>513.66</v>
      </c>
      <c r="V20" s="10">
        <v>454.13</v>
      </c>
      <c r="W20" s="19">
        <v>443.46</v>
      </c>
      <c r="X20" s="62">
        <f t="shared" si="3"/>
        <v>5185.04</v>
      </c>
      <c r="Y20" s="81">
        <f t="shared" si="4"/>
        <v>45226.3</v>
      </c>
    </row>
    <row r="21" spans="1:25" ht="24.75" customHeight="1" thickBot="1">
      <c r="A21" s="39" t="s">
        <v>36</v>
      </c>
      <c r="B21" s="33" t="s">
        <v>62</v>
      </c>
      <c r="C21" s="51">
        <v>494.38</v>
      </c>
      <c r="D21" s="52">
        <v>2261.48</v>
      </c>
      <c r="E21" s="74">
        <v>2797.21</v>
      </c>
      <c r="F21" s="52">
        <v>757.83</v>
      </c>
      <c r="G21" s="52">
        <v>538.76</v>
      </c>
      <c r="H21" s="74">
        <v>1171.77</v>
      </c>
      <c r="I21" s="52">
        <v>791.49</v>
      </c>
      <c r="J21" s="74">
        <v>690.89</v>
      </c>
      <c r="K21" s="52">
        <v>539.7</v>
      </c>
      <c r="L21" s="9">
        <v>42.54</v>
      </c>
      <c r="M21" s="10">
        <v>28.56</v>
      </c>
      <c r="N21" s="10">
        <v>20.28</v>
      </c>
      <c r="O21" s="10">
        <v>28.49</v>
      </c>
      <c r="P21" s="10">
        <v>26.46</v>
      </c>
      <c r="Q21" s="10">
        <v>31.55</v>
      </c>
      <c r="R21" s="10">
        <v>96.48</v>
      </c>
      <c r="S21" s="10">
        <v>24.7</v>
      </c>
      <c r="T21" s="10">
        <v>30.59</v>
      </c>
      <c r="U21" s="10">
        <v>26.49</v>
      </c>
      <c r="V21" s="10">
        <v>126.65</v>
      </c>
      <c r="W21" s="19">
        <v>40.26</v>
      </c>
      <c r="X21" s="62">
        <f t="shared" si="3"/>
        <v>523.05</v>
      </c>
      <c r="Y21" s="81">
        <f t="shared" si="4"/>
        <v>10566.56</v>
      </c>
    </row>
    <row r="22" spans="1:25" ht="33.75" customHeight="1" thickBot="1">
      <c r="A22" s="39" t="s">
        <v>51</v>
      </c>
      <c r="B22" s="33" t="s">
        <v>63</v>
      </c>
      <c r="C22" s="51">
        <v>0</v>
      </c>
      <c r="D22" s="52">
        <v>1314.92</v>
      </c>
      <c r="E22" s="74">
        <v>4088.53</v>
      </c>
      <c r="F22" s="52">
        <v>3939.28</v>
      </c>
      <c r="G22" s="52">
        <v>5285.12</v>
      </c>
      <c r="H22" s="74">
        <v>4543.13</v>
      </c>
      <c r="I22" s="52">
        <v>5852.38</v>
      </c>
      <c r="J22" s="74">
        <v>5053.61</v>
      </c>
      <c r="K22" s="52">
        <v>5323.05</v>
      </c>
      <c r="L22" s="9">
        <f>21.29+152.25+235.21</f>
        <v>408.75</v>
      </c>
      <c r="M22" s="10">
        <f>223.31+23.33+205.97</f>
        <v>452.61</v>
      </c>
      <c r="N22" s="10">
        <f>226.18+23.13+223.53</f>
        <v>472.84000000000003</v>
      </c>
      <c r="O22" s="10">
        <f>238.26+23.44+174.14</f>
        <v>435.84</v>
      </c>
      <c r="P22" s="10">
        <f>288.88+21.06+135.89</f>
        <v>445.83</v>
      </c>
      <c r="Q22" s="10">
        <f>232+19.75+129.67</f>
        <v>381.41999999999996</v>
      </c>
      <c r="R22" s="10">
        <f>22.23+150.68+292.78</f>
        <v>465.68999999999994</v>
      </c>
      <c r="S22" s="10">
        <f>23.6+228.99+226.97</f>
        <v>479.56</v>
      </c>
      <c r="T22" s="10">
        <f>264.44+18.57+177.1</f>
        <v>460.11</v>
      </c>
      <c r="U22" s="10">
        <f>24.78+318.7+257.78</f>
        <v>601.26</v>
      </c>
      <c r="V22" s="10">
        <f>20.31+177.77+369.29</f>
        <v>567.37</v>
      </c>
      <c r="W22" s="19">
        <f>335.32+23.49+300.85</f>
        <v>659.6600000000001</v>
      </c>
      <c r="X22" s="62">
        <f t="shared" si="3"/>
        <v>5830.94</v>
      </c>
      <c r="Y22" s="81">
        <f t="shared" si="4"/>
        <v>41230.96000000001</v>
      </c>
    </row>
    <row r="23" spans="1:25" ht="15.75" customHeight="1" thickBot="1">
      <c r="A23" s="39" t="s">
        <v>52</v>
      </c>
      <c r="B23" s="33" t="s">
        <v>8</v>
      </c>
      <c r="C23" s="51">
        <v>479.36</v>
      </c>
      <c r="D23" s="52">
        <v>34041.48</v>
      </c>
      <c r="E23" s="74">
        <v>39177.79</v>
      </c>
      <c r="F23" s="52">
        <v>49481.81</v>
      </c>
      <c r="G23" s="52">
        <v>52216.39</v>
      </c>
      <c r="H23" s="74">
        <v>53453.46</v>
      </c>
      <c r="I23" s="52">
        <v>60008.3</v>
      </c>
      <c r="J23" s="74">
        <v>56683.58</v>
      </c>
      <c r="K23" s="52">
        <v>59913.9</v>
      </c>
      <c r="L23" s="9">
        <f>11946.4-6511.61</f>
        <v>5434.79</v>
      </c>
      <c r="M23" s="10">
        <f>11248.45-6033.79</f>
        <v>5214.660000000001</v>
      </c>
      <c r="N23" s="10">
        <f>12681.68-7717.25</f>
        <v>4964.43</v>
      </c>
      <c r="O23" s="10">
        <f>9287.68-4187.48</f>
        <v>5100.200000000001</v>
      </c>
      <c r="P23" s="10">
        <f>8941.51-3979.75</f>
        <v>4961.76</v>
      </c>
      <c r="Q23" s="10">
        <f>9062.6-4133.5</f>
        <v>4929.1</v>
      </c>
      <c r="R23" s="10">
        <f>11361.59-6173.77</f>
        <v>5187.82</v>
      </c>
      <c r="S23" s="10">
        <f>8358.5-3365.02</f>
        <v>4993.48</v>
      </c>
      <c r="T23" s="10">
        <f>11208.65-6557.71</f>
        <v>4650.94</v>
      </c>
      <c r="U23" s="10">
        <f>8260.07-3522.26</f>
        <v>4737.8099999999995</v>
      </c>
      <c r="V23" s="10">
        <f>8645.14-3503.5</f>
        <v>5141.639999999999</v>
      </c>
      <c r="W23" s="19">
        <f>9889.98-4457.47+0.09</f>
        <v>5432.599999999999</v>
      </c>
      <c r="X23" s="62">
        <f t="shared" si="3"/>
        <v>60749.23</v>
      </c>
      <c r="Y23" s="81">
        <f t="shared" si="4"/>
        <v>466205.3</v>
      </c>
    </row>
    <row r="24" spans="1:25" ht="13.5" customHeight="1" thickBot="1">
      <c r="A24" s="39" t="s">
        <v>54</v>
      </c>
      <c r="B24" s="34" t="s">
        <v>3</v>
      </c>
      <c r="C24" s="53">
        <v>296.74</v>
      </c>
      <c r="D24" s="54">
        <v>3910.24</v>
      </c>
      <c r="E24" s="75">
        <v>6490.66</v>
      </c>
      <c r="F24" s="54">
        <v>4479.1</v>
      </c>
      <c r="G24" s="54">
        <v>4958.07</v>
      </c>
      <c r="H24" s="75">
        <v>5700.29</v>
      </c>
      <c r="I24" s="54">
        <v>4841.07</v>
      </c>
      <c r="J24" s="75">
        <v>4557.91</v>
      </c>
      <c r="K24" s="54">
        <v>4932.71</v>
      </c>
      <c r="L24" s="11">
        <f>34.19+358.78</f>
        <v>392.96999999999997</v>
      </c>
      <c r="M24" s="12">
        <f>6.6+37.18+388.58</f>
        <v>432.36</v>
      </c>
      <c r="N24" s="12">
        <f>13.05+35.97+374.3</f>
        <v>423.32</v>
      </c>
      <c r="O24" s="12">
        <f>34.11+357.88</f>
        <v>391.99</v>
      </c>
      <c r="P24" s="12">
        <f>37.08+389.07</f>
        <v>426.15</v>
      </c>
      <c r="Q24" s="12">
        <f>4+34.22+358.13</f>
        <v>396.35</v>
      </c>
      <c r="R24" s="12">
        <f>13+37.41+389.47</f>
        <v>439.88</v>
      </c>
      <c r="S24" s="12">
        <f>12.9+36.03+359.12</f>
        <v>408.05</v>
      </c>
      <c r="T24" s="12">
        <f>9.79+372.8</f>
        <v>382.59000000000003</v>
      </c>
      <c r="U24" s="12">
        <f>19.3+9.38+375.92</f>
        <v>404.6</v>
      </c>
      <c r="V24" s="12">
        <f>8.24+357.21</f>
        <v>365.45</v>
      </c>
      <c r="W24" s="21">
        <f>75.7+10.94+383.05</f>
        <v>469.69</v>
      </c>
      <c r="X24" s="62">
        <f t="shared" si="3"/>
        <v>4933.4</v>
      </c>
      <c r="Y24" s="81">
        <f t="shared" si="4"/>
        <v>45100.189999999995</v>
      </c>
    </row>
    <row r="25" spans="1:25" ht="14.25" customHeight="1" thickBot="1">
      <c r="A25" s="39"/>
      <c r="B25" s="36" t="s">
        <v>58</v>
      </c>
      <c r="C25" s="65"/>
      <c r="D25" s="66"/>
      <c r="E25" s="76"/>
      <c r="F25" s="66"/>
      <c r="G25" s="66"/>
      <c r="H25" s="84">
        <f>H7*5%</f>
        <v>7068.439</v>
      </c>
      <c r="I25" s="78">
        <f>I7*5%</f>
        <v>7066.47</v>
      </c>
      <c r="J25" s="84">
        <f>J7*5%</f>
        <v>7066.47</v>
      </c>
      <c r="K25" s="87">
        <f>K7*5%</f>
        <v>5934.318</v>
      </c>
      <c r="L25" s="77">
        <f>SUM(L7+L8+L9)*5%</f>
        <v>657.9430000000001</v>
      </c>
      <c r="M25" s="77">
        <f aca="true" t="shared" si="5" ref="M25:W25">SUM(M7+M8+M9)*5%</f>
        <v>657.9430000000001</v>
      </c>
      <c r="N25" s="77">
        <f t="shared" si="5"/>
        <v>657.9430000000001</v>
      </c>
      <c r="O25" s="77">
        <f t="shared" si="5"/>
        <v>657.9430000000001</v>
      </c>
      <c r="P25" s="77">
        <f t="shared" si="5"/>
        <v>657.9430000000001</v>
      </c>
      <c r="Q25" s="77">
        <f t="shared" si="5"/>
        <v>657.9430000000001</v>
      </c>
      <c r="R25" s="77">
        <f t="shared" si="5"/>
        <v>660.4935</v>
      </c>
      <c r="S25" s="77">
        <f t="shared" si="5"/>
        <v>622.691</v>
      </c>
      <c r="T25" s="77">
        <f t="shared" si="5"/>
        <v>622.691</v>
      </c>
      <c r="U25" s="77">
        <f t="shared" si="5"/>
        <v>622.691</v>
      </c>
      <c r="V25" s="77">
        <f t="shared" si="5"/>
        <v>622.691</v>
      </c>
      <c r="W25" s="77">
        <f t="shared" si="5"/>
        <v>622.691</v>
      </c>
      <c r="X25" s="78">
        <f t="shared" si="3"/>
        <v>7721.6065</v>
      </c>
      <c r="Y25" s="56"/>
    </row>
    <row r="26" spans="1:25" ht="13.5" customHeight="1" thickBot="1">
      <c r="A26" s="39" t="s">
        <v>37</v>
      </c>
      <c r="B26" s="36" t="s">
        <v>48</v>
      </c>
      <c r="C26" s="65"/>
      <c r="D26" s="66"/>
      <c r="E26" s="76"/>
      <c r="F26" s="66"/>
      <c r="G26" s="66"/>
      <c r="H26" s="76"/>
      <c r="I26" s="66"/>
      <c r="J26" s="76"/>
      <c r="K26" s="78">
        <f aca="true" t="shared" si="6" ref="K26:W26">SUM(K7+K8+K9-K10)-K25</f>
        <v>25456.661999999997</v>
      </c>
      <c r="L26" s="79">
        <f t="shared" si="6"/>
        <v>554.5170000000008</v>
      </c>
      <c r="M26" s="79">
        <f t="shared" si="6"/>
        <v>1252.4669999999996</v>
      </c>
      <c r="N26" s="79">
        <f t="shared" si="6"/>
        <v>-180.7629999999998</v>
      </c>
      <c r="O26" s="79">
        <f t="shared" si="6"/>
        <v>3213.237</v>
      </c>
      <c r="P26" s="79">
        <f t="shared" si="6"/>
        <v>3559.407</v>
      </c>
      <c r="Q26" s="79">
        <f t="shared" si="6"/>
        <v>3438.317</v>
      </c>
      <c r="R26" s="79">
        <f t="shared" si="6"/>
        <v>1187.7865000000024</v>
      </c>
      <c r="S26" s="79">
        <f t="shared" si="6"/>
        <v>3472.639</v>
      </c>
      <c r="T26" s="79">
        <f t="shared" si="6"/>
        <v>622.4790000000019</v>
      </c>
      <c r="U26" s="79">
        <f t="shared" si="6"/>
        <v>3571.059</v>
      </c>
      <c r="V26" s="79">
        <f t="shared" si="6"/>
        <v>3185.9890000000005</v>
      </c>
      <c r="W26" s="79">
        <f t="shared" si="6"/>
        <v>1941.0589999999982</v>
      </c>
      <c r="X26" s="78">
        <f t="shared" si="3"/>
        <v>25818.193500000005</v>
      </c>
      <c r="Y26" s="56"/>
    </row>
    <row r="27" spans="1:25" ht="23.25" customHeight="1" thickBot="1">
      <c r="A27" s="88" t="s">
        <v>38</v>
      </c>
      <c r="B27" s="96" t="s">
        <v>22</v>
      </c>
      <c r="C27" s="97">
        <v>9394.47</v>
      </c>
      <c r="D27" s="96">
        <v>-25358.38</v>
      </c>
      <c r="E27" s="90">
        <f>SUM(E7-E10)</f>
        <v>14573.949999999997</v>
      </c>
      <c r="F27" s="91">
        <f>SUM(F7-F10)</f>
        <v>28876.569999999978</v>
      </c>
      <c r="G27" s="91">
        <f>SUM(G7-G10)</f>
        <v>29564.76999999999</v>
      </c>
      <c r="H27" s="98">
        <f>SUM(H7-H10)-H25</f>
        <v>34470.671</v>
      </c>
      <c r="I27" s="99">
        <f>SUM(I7-I10)-I25</f>
        <v>22537.47999999998</v>
      </c>
      <c r="J27" s="98">
        <f>SUM(J7-J10)-J25</f>
        <v>31697.28</v>
      </c>
      <c r="K27" s="99">
        <f>SUM(K7+K8+K9-K10)-K25</f>
        <v>25456.661999999997</v>
      </c>
      <c r="L27" s="100">
        <f>SUM(L7+L8+L9-L10)-L25</f>
        <v>554.5170000000008</v>
      </c>
      <c r="M27" s="101">
        <f>SUM(M26+L27)</f>
        <v>1806.9840000000004</v>
      </c>
      <c r="N27" s="101">
        <f aca="true" t="shared" si="7" ref="N27:W27">SUM(N26+M27)</f>
        <v>1626.2210000000005</v>
      </c>
      <c r="O27" s="101">
        <f t="shared" si="7"/>
        <v>4839.4580000000005</v>
      </c>
      <c r="P27" s="101">
        <f t="shared" si="7"/>
        <v>8398.865000000002</v>
      </c>
      <c r="Q27" s="101">
        <f t="shared" si="7"/>
        <v>11837.182</v>
      </c>
      <c r="R27" s="101">
        <f t="shared" si="7"/>
        <v>13024.968500000003</v>
      </c>
      <c r="S27" s="101">
        <f t="shared" si="7"/>
        <v>16497.607500000002</v>
      </c>
      <c r="T27" s="101">
        <f t="shared" si="7"/>
        <v>17120.086500000005</v>
      </c>
      <c r="U27" s="101">
        <f t="shared" si="7"/>
        <v>20691.145500000006</v>
      </c>
      <c r="V27" s="101">
        <f t="shared" si="7"/>
        <v>23877.134500000007</v>
      </c>
      <c r="W27" s="101">
        <f t="shared" si="7"/>
        <v>25818.193500000005</v>
      </c>
      <c r="X27" s="91"/>
      <c r="Y27" s="102"/>
    </row>
    <row r="28" spans="1:25" ht="0.75" customHeight="1" thickBot="1">
      <c r="A28" s="39" t="s">
        <v>39</v>
      </c>
      <c r="B28" s="35" t="s">
        <v>23</v>
      </c>
      <c r="C28" s="69">
        <v>9394.47</v>
      </c>
      <c r="D28" s="41">
        <v>-15509.43</v>
      </c>
      <c r="E28" s="20">
        <f>SUM(E7-E10,D28)</f>
        <v>-935.4800000000032</v>
      </c>
      <c r="F28" s="62">
        <f>SUM(F7-F10,E28)</f>
        <v>27941.089999999975</v>
      </c>
      <c r="G28" s="62">
        <f>SUM(G7-G10,F28)</f>
        <v>57505.859999999964</v>
      </c>
      <c r="H28" s="85">
        <f>SUM(H27+G28)</f>
        <v>91976.53099999996</v>
      </c>
      <c r="I28" s="78">
        <f>SUM(I27+H28)</f>
        <v>114514.01099999994</v>
      </c>
      <c r="J28" s="78">
        <f>SUM(J27+I28)</f>
        <v>146211.29099999994</v>
      </c>
      <c r="K28" s="78">
        <f>SUM(K27+J28)</f>
        <v>171667.95299999992</v>
      </c>
      <c r="L28" s="78">
        <f>SUM(L27+K28)</f>
        <v>172222.4699999999</v>
      </c>
      <c r="M28" s="79">
        <f>SUM(M26+L28)</f>
        <v>173474.93699999992</v>
      </c>
      <c r="N28" s="79">
        <f>SUM(N26+M28)</f>
        <v>173294.1739999999</v>
      </c>
      <c r="O28" s="79">
        <f aca="true" t="shared" si="8" ref="O28:V28">SUM(O26+N28)</f>
        <v>176507.4109999999</v>
      </c>
      <c r="P28" s="79">
        <f t="shared" si="8"/>
        <v>180066.8179999999</v>
      </c>
      <c r="Q28" s="79">
        <f t="shared" si="8"/>
        <v>183505.13499999992</v>
      </c>
      <c r="R28" s="79">
        <f t="shared" si="8"/>
        <v>184692.92149999994</v>
      </c>
      <c r="S28" s="79">
        <f t="shared" si="8"/>
        <v>188165.56049999993</v>
      </c>
      <c r="T28" s="79">
        <f t="shared" si="8"/>
        <v>188788.03949999993</v>
      </c>
      <c r="U28" s="79">
        <f t="shared" si="8"/>
        <v>192359.09849999993</v>
      </c>
      <c r="V28" s="79">
        <f t="shared" si="8"/>
        <v>195545.08749999994</v>
      </c>
      <c r="W28" s="79">
        <f>SUM(W26+V28)</f>
        <v>197486.14649999994</v>
      </c>
      <c r="X28" s="62"/>
      <c r="Y28" s="56"/>
    </row>
    <row r="29" spans="1:25" ht="9.75" customHeight="1" hidden="1" thickBot="1">
      <c r="A29" s="39" t="s">
        <v>39</v>
      </c>
      <c r="B29" s="41" t="s">
        <v>6</v>
      </c>
      <c r="C29" s="43"/>
      <c r="D29" s="41"/>
      <c r="E29" s="41"/>
      <c r="F29" s="43"/>
      <c r="G29" s="43"/>
      <c r="H29" s="43"/>
      <c r="I29" s="43"/>
      <c r="J29" s="43"/>
      <c r="K29" s="43"/>
      <c r="L29" s="13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22"/>
      <c r="X29" s="62"/>
      <c r="Y29" s="58"/>
    </row>
    <row r="30" spans="1:25" ht="15" customHeight="1" hidden="1" thickBot="1">
      <c r="A30" s="39" t="s">
        <v>40</v>
      </c>
      <c r="B30" s="36" t="s">
        <v>24</v>
      </c>
      <c r="C30" s="44"/>
      <c r="D30" s="47"/>
      <c r="E30" s="47"/>
      <c r="F30" s="44"/>
      <c r="G30" s="44"/>
      <c r="H30" s="44"/>
      <c r="I30" s="44"/>
      <c r="J30" s="44"/>
      <c r="K30" s="44"/>
      <c r="L30" s="15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23"/>
      <c r="X30" s="63"/>
      <c r="Y30" s="57"/>
    </row>
    <row r="31" spans="1:25" ht="24" customHeight="1" hidden="1" thickBot="1">
      <c r="A31" s="40" t="s">
        <v>41</v>
      </c>
      <c r="B31" s="37" t="s">
        <v>44</v>
      </c>
      <c r="C31" s="45"/>
      <c r="D31" s="48"/>
      <c r="E31" s="48"/>
      <c r="F31" s="45"/>
      <c r="G31" s="45"/>
      <c r="H31" s="45"/>
      <c r="I31" s="45"/>
      <c r="J31" s="45"/>
      <c r="K31" s="45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8">
        <f>SUM(W27-W29)</f>
        <v>25818.193500000005</v>
      </c>
      <c r="X31" s="70"/>
      <c r="Y31" s="59"/>
    </row>
    <row r="32" spans="1:25" ht="24" customHeight="1" hidden="1" thickBot="1">
      <c r="A32" s="40" t="s">
        <v>43</v>
      </c>
      <c r="B32" s="37" t="s">
        <v>25</v>
      </c>
      <c r="C32" s="45"/>
      <c r="D32" s="48"/>
      <c r="E32" s="45"/>
      <c r="F32" s="45"/>
      <c r="G32" s="45"/>
      <c r="H32" s="45"/>
      <c r="I32" s="45"/>
      <c r="J32" s="45"/>
      <c r="K32" s="45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8">
        <f>SUM(W28-W29)</f>
        <v>197486.14649999994</v>
      </c>
      <c r="X32" s="64"/>
      <c r="Y32" s="59"/>
    </row>
    <row r="33" spans="2:25" ht="6.75" customHeight="1" hidden="1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6"/>
    </row>
    <row r="34" ht="11.25" customHeight="1">
      <c r="B34" t="s">
        <v>68</v>
      </c>
    </row>
    <row r="35" ht="3.75" customHeight="1" hidden="1"/>
    <row r="36" ht="12.75" hidden="1"/>
    <row r="37" ht="12.75" hidden="1"/>
    <row r="42" ht="12.75" customHeight="1"/>
    <row r="43" ht="12.75" customHeight="1"/>
  </sheetData>
  <sheetProtection/>
  <mergeCells count="5">
    <mergeCell ref="B4:Y4"/>
    <mergeCell ref="B5:Y5"/>
    <mergeCell ref="B3:Y3"/>
    <mergeCell ref="B1:N1"/>
    <mergeCell ref="B2:V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2019-02-11T06:12:00Z</cp:lastPrinted>
  <dcterms:created xsi:type="dcterms:W3CDTF">2011-06-16T11:06:26Z</dcterms:created>
  <dcterms:modified xsi:type="dcterms:W3CDTF">2019-02-12T13:06:39Z</dcterms:modified>
  <cp:category/>
  <cp:version/>
  <cp:contentType/>
  <cp:contentStatus/>
</cp:coreProperties>
</file>