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<sst xmlns="http://schemas.openxmlformats.org/spreadsheetml/2006/main" count="77" uniqueCount="77">
  <si>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</si>
  <si>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</si>
  <si>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</si>
  <si>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</si>
  <si>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</si>
  <si>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</si>
  <si>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</si>
  <si>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</si>
  <si>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</si>
  <si>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</si>
  <si>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</si>
  <si>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</si>
  <si>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</si>
  <si>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</si>
  <si>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</si>
  <si>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</si>
  <si>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</si>
  <si>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</si>
  <si>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</si>
  <si>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</si>
  <si>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</si>
  <si>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</si>
  <si>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</si>
  <si>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</si>
  <si>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</si>
  <si>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</si>
  <si>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</si>
  <si>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</si>
  <si>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</si>
  <si>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</si>
  <si>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</si>
  <si>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</si>
  <si>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</si>
  <si>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</si>
  <si>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</si>
  <si>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</si>
  <si>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</si>
  <si>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</si>
  <si>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</si>
  <si>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</si>
  <si>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</si>
  <si>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</si>
  <si>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</si>
  <si>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</si>
  <si>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</si>
  <si>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</si>
  <si>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</si>
  <si>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территории</t>
  </si>
  <si>
    <t>11</t>
  </si>
  <si>
    <t>Итого за 2011 г</t>
  </si>
  <si>
    <t>Результат за месяц</t>
  </si>
  <si>
    <t>по жилому дому г. Унеча ул. Комсомольская д.21</t>
  </si>
  <si>
    <t>2010 год</t>
  </si>
  <si>
    <t>Итого за 2012 г</t>
  </si>
  <si>
    <t>4.13</t>
  </si>
  <si>
    <t>4.14</t>
  </si>
  <si>
    <t>Дом по ул.Комсомольская д.21 вступил в ООО  "Наш дом" с февраля  2010 года                                      тариф 9,2 руб</t>
  </si>
  <si>
    <t>Итого за 2013 г</t>
  </si>
  <si>
    <t xml:space="preserve">Материалы 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</si>
  <si>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</si>
  <si>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</si>
  <si>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</si>
  <si>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</si>
  <si>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</si>
  <si>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</si>
  <si>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4.5</t>
  </si>
  <si>
    <t>Проверка вент.каналов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</si>
  <si>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</si>
  <si>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</si>
  <si>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</si>
  <si>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</si>
  <si>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</si>
  <si>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СОИД</t>
  </si>
  <si>
    <t>Горячая вода СОИД</t>
  </si>
  <si>
    <t>Дератизация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</si>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</sst>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25" fillId="0" borderId="25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5" fillId="0" borderId="33" xfId="0" applyFont="1" applyBorder="1" applyAlignment="1">
      <alignment/>
    </xf>
    <xf numFmtId="0" fontId="21" fillId="0" borderId="25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2" borderId="27" xfId="0" applyFont="1" applyFill="1" applyBorder="1" applyAlignment="1">
      <alignment wrapText="1"/>
    </xf>
    <xf numFmtId="0" fontId="23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9" xfId="0" applyFont="1" applyFill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37" xfId="0" applyFont="1" applyBorder="1" applyAlignment="1">
      <alignment wrapText="1"/>
    </xf>
    <xf numFmtId="0" fontId="21" fillId="0" borderId="37" xfId="0" applyNumberFormat="1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4" xfId="0" applyFont="1" applyBorder="1" applyAlignment="1">
      <alignment horizontal="left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1" fillId="0" borderId="40" xfId="0" applyFont="1" applyBorder="1" applyAlignment="1">
      <alignment/>
    </xf>
    <xf numFmtId="0" fontId="21" fillId="0" borderId="41" xfId="0" applyNumberFormat="1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2" xfId="0" applyFont="1" applyBorder="1" applyAlignment="1">
      <alignment horizontal="left"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5" fillId="0" borderId="45" xfId="0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0" fontId="21" fillId="0" borderId="34" xfId="0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26" fillId="0" borderId="47" xfId="0" applyFont="1" applyBorder="1" applyAlignment="1">
      <alignment wrapText="1"/>
    </xf>
    <xf numFmtId="0" fontId="21" fillId="0" borderId="42" xfId="0" applyFont="1" applyBorder="1" applyAlignment="1">
      <alignment horizontal="right" wrapText="1"/>
    </xf>
    <xf numFmtId="2" fontId="21" fillId="0" borderId="40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40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2" fillId="0" borderId="0" xfId="0" applyFont="1" applyAlignment="1">
      <alignment/>
    </xf>
    <xf numFmtId="0" fontId="27" fillId="0" borderId="28" xfId="0" applyFont="1" applyBorder="1" applyAlignment="1">
      <alignment wrapText="1"/>
    </xf>
    <xf numFmtId="2" fontId="27" fillId="0" borderId="46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0">
      <selection activeCell="V23" sqref="V23"/>
    </sheetView>
  </sheetViews>
  <sheetFormatPr defaultColWidth="9.00390625" defaultRowHeight="12.75"/>
  <cols>
    <col min="1" max="1" width="3.00390625" style="32" customWidth="1"/>
    <col min="2" max="2" width="19.125" style="0" customWidth="1"/>
    <col min="3" max="3" width="7.625" style="0" hidden="1" customWidth="1"/>
    <col min="4" max="4" width="10.375" style="0" hidden="1" customWidth="1"/>
    <col min="5" max="5" width="0.74609375" style="0" hidden="1" customWidth="1"/>
    <col min="6" max="6" width="8.875" style="0" hidden="1" customWidth="1"/>
    <col min="7" max="7" width="9.25390625" style="0" hidden="1" customWidth="1"/>
    <col min="8" max="8" width="9.00390625" style="0" hidden="1" customWidth="1"/>
    <col min="9" max="9" width="8.375" style="0" hidden="1" customWidth="1"/>
    <col min="10" max="10" width="9.00390625" style="0" hidden="1" customWidth="1"/>
    <col min="11" max="11" width="8.00390625" style="0" customWidth="1"/>
    <col min="12" max="12" width="8.375" style="0" customWidth="1"/>
    <col min="13" max="13" width="8.75390625" style="0" customWidth="1"/>
    <col min="14" max="14" width="8.875" style="0" customWidth="1"/>
    <col min="15" max="15" width="8.375" style="0" customWidth="1"/>
    <col min="16" max="16" width="8.75390625" style="0" customWidth="1"/>
    <col min="17" max="17" width="8.125" style="0" customWidth="1"/>
    <col min="18" max="18" width="8.375" style="0" customWidth="1"/>
    <col min="19" max="19" width="8.625" style="0" customWidth="1"/>
    <col min="20" max="20" width="8.75390625" style="0" customWidth="1"/>
    <col min="21" max="21" width="7.75390625" style="0" customWidth="1"/>
    <col min="22" max="22" width="8.75390625" style="0" customWidth="1"/>
    <col min="23" max="23" width="9.625" style="0" customWidth="1"/>
    <col min="24" max="24" width="10.125" style="0" customWidth="1"/>
  </cols>
  <sheetData>
    <row r="1" spans="2:29" ht="12.75" customHeight="1">
      <c r="B1" s="103" t="s">
        <v>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3" t="s">
        <v>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3"/>
      <c r="Z3" s="3"/>
      <c r="AA3" s="3"/>
      <c r="AB3" s="3"/>
      <c r="AC3" s="3"/>
    </row>
    <row r="4" spans="2:29" ht="15" customHeight="1">
      <c r="B4" s="101" t="s">
        <v>10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2"/>
      <c r="Z4" s="2"/>
      <c r="AA4" s="2"/>
      <c r="AB4" s="2"/>
      <c r="AC4" s="2"/>
    </row>
    <row r="5" spans="2:29" ht="16.5" customHeight="1" thickBot="1">
      <c r="B5" s="101" t="s">
        <v>51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"/>
      <c r="Z5" s="2"/>
      <c r="AA5" s="2"/>
      <c r="AB5" s="2"/>
      <c r="AC5" s="2"/>
    </row>
    <row r="6" spans="1:29" ht="36" customHeight="1" thickBot="1">
      <c r="A6" s="42" t="s">
        <v>27</v>
      </c>
      <c r="B6" s="33" t="s">
        <v>6</v>
      </c>
      <c r="C6" s="53" t="s">
        <v>52</v>
      </c>
      <c r="D6" s="60" t="s">
        <v>49</v>
      </c>
      <c r="E6" s="48" t="s">
        <v>53</v>
      </c>
      <c r="F6" s="48" t="s">
        <v>57</v>
      </c>
      <c r="G6" s="60" t="s">
        <v>59</v>
      </c>
      <c r="H6" s="48" t="s">
        <v>61</v>
      </c>
      <c r="I6" s="48" t="s">
        <v>69</v>
      </c>
      <c r="J6" s="48" t="s">
        <v>70</v>
      </c>
      <c r="K6" s="6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22</v>
      </c>
      <c r="V6" s="17" t="s">
        <v>21</v>
      </c>
      <c r="W6" s="48" t="s">
        <v>75</v>
      </c>
      <c r="X6" s="23" t="s">
        <v>76</v>
      </c>
      <c r="Y6" s="1"/>
      <c r="Z6" s="1"/>
      <c r="AA6" s="1"/>
      <c r="AB6" s="1"/>
      <c r="AC6" s="1"/>
    </row>
    <row r="7" spans="1:24" ht="13.5" thickBot="1">
      <c r="A7" s="43" t="s">
        <v>28</v>
      </c>
      <c r="B7" s="34" t="s">
        <v>1</v>
      </c>
      <c r="C7" s="67">
        <v>97479.52</v>
      </c>
      <c r="D7" s="74">
        <v>106730.12</v>
      </c>
      <c r="E7" s="61">
        <v>106843.28</v>
      </c>
      <c r="F7" s="74">
        <v>106745.76</v>
      </c>
      <c r="G7" s="67">
        <v>106782.56</v>
      </c>
      <c r="H7" s="74">
        <v>106834.08</v>
      </c>
      <c r="I7" s="82">
        <v>106834.08</v>
      </c>
      <c r="J7" s="74">
        <v>106839.6</v>
      </c>
      <c r="K7" s="7">
        <v>8905.6</v>
      </c>
      <c r="L7" s="8">
        <v>8905.6</v>
      </c>
      <c r="M7" s="8">
        <v>8905.6</v>
      </c>
      <c r="N7" s="8">
        <v>8905.6</v>
      </c>
      <c r="O7" s="8">
        <v>8905.6</v>
      </c>
      <c r="P7" s="8">
        <v>8905.6</v>
      </c>
      <c r="Q7" s="8">
        <v>8905.6</v>
      </c>
      <c r="R7" s="8">
        <v>8905.6</v>
      </c>
      <c r="S7" s="8">
        <v>8905.6</v>
      </c>
      <c r="T7" s="8">
        <v>8905.6</v>
      </c>
      <c r="U7" s="8">
        <v>8905.6</v>
      </c>
      <c r="V7" s="8">
        <v>8905.6</v>
      </c>
      <c r="W7" s="49">
        <f>SUM(K7:V7)</f>
        <v>106867.20000000003</v>
      </c>
      <c r="X7" s="46">
        <f>SUM(C7:V7)</f>
        <v>951956.1999999996</v>
      </c>
    </row>
    <row r="8" spans="1:24" ht="13.5" thickBot="1">
      <c r="A8" s="43"/>
      <c r="B8" s="34" t="s">
        <v>71</v>
      </c>
      <c r="C8" s="67"/>
      <c r="D8" s="61"/>
      <c r="E8" s="61"/>
      <c r="F8" s="61"/>
      <c r="G8" s="67"/>
      <c r="H8" s="61"/>
      <c r="I8" s="67">
        <v>0</v>
      </c>
      <c r="J8" s="61">
        <v>12831.13</v>
      </c>
      <c r="K8" s="7">
        <f aca="true" t="shared" si="0" ref="K8:P8">1195.19+26.08+29.01+116.14</f>
        <v>1366.42</v>
      </c>
      <c r="L8" s="8">
        <f t="shared" si="0"/>
        <v>1366.42</v>
      </c>
      <c r="M8" s="8">
        <f t="shared" si="0"/>
        <v>1366.42</v>
      </c>
      <c r="N8" s="8">
        <f t="shared" si="0"/>
        <v>1366.42</v>
      </c>
      <c r="O8" s="8">
        <f t="shared" si="0"/>
        <v>1366.42</v>
      </c>
      <c r="P8" s="8">
        <f t="shared" si="0"/>
        <v>1366.42</v>
      </c>
      <c r="Q8" s="8">
        <f>1254.43+26.25+29.78+119.86</f>
        <v>1430.32</v>
      </c>
      <c r="R8" s="8">
        <f>26.25+29.78+119.86</f>
        <v>175.89</v>
      </c>
      <c r="S8" s="8">
        <f>26.25+29.78+119.86</f>
        <v>175.89</v>
      </c>
      <c r="T8" s="8">
        <f>26.25+29.78+119.86</f>
        <v>175.89</v>
      </c>
      <c r="U8" s="8">
        <f>26.25+29.78+119.86</f>
        <v>175.89</v>
      </c>
      <c r="V8" s="8">
        <f>26.25+29.78+119.86</f>
        <v>175.89</v>
      </c>
      <c r="W8" s="49">
        <f>SUM(K8:V8)</f>
        <v>10508.289999999997</v>
      </c>
      <c r="X8" s="46">
        <f>SUM(C8:V8)</f>
        <v>23339.41999999999</v>
      </c>
    </row>
    <row r="9" spans="1:24" s="93" customFormat="1" ht="13.5" thickBot="1">
      <c r="A9" s="86" t="s">
        <v>29</v>
      </c>
      <c r="B9" s="87" t="s">
        <v>2</v>
      </c>
      <c r="C9" s="88">
        <f aca="true" t="shared" si="1" ref="C9:K9">SUM(C10:C23)</f>
        <v>88943.23</v>
      </c>
      <c r="D9" s="89">
        <f t="shared" si="1"/>
        <v>114152.64</v>
      </c>
      <c r="E9" s="89">
        <f t="shared" si="1"/>
        <v>95546.87999999999</v>
      </c>
      <c r="F9" s="89">
        <f t="shared" si="1"/>
        <v>105743.79999999999</v>
      </c>
      <c r="G9" s="88">
        <f t="shared" si="1"/>
        <v>101946.27999999998</v>
      </c>
      <c r="H9" s="89">
        <f>SUM(H10:H23)</f>
        <v>112986.43999999999</v>
      </c>
      <c r="I9" s="88">
        <f>SUM(I10:I23)</f>
        <v>100624.47</v>
      </c>
      <c r="J9" s="89">
        <f>SUM(J10:J23)</f>
        <v>109636.54</v>
      </c>
      <c r="K9" s="90">
        <f t="shared" si="1"/>
        <v>11199.21</v>
      </c>
      <c r="L9" s="90">
        <f aca="true" t="shared" si="2" ref="L9:V9">SUM(L10:L23)</f>
        <v>9966.139999999998</v>
      </c>
      <c r="M9" s="90">
        <f t="shared" si="2"/>
        <v>20001.420000000002</v>
      </c>
      <c r="N9" s="90">
        <f t="shared" si="2"/>
        <v>8835.709999999997</v>
      </c>
      <c r="O9" s="90">
        <f t="shared" si="2"/>
        <v>9894.07</v>
      </c>
      <c r="P9" s="90">
        <f t="shared" si="2"/>
        <v>9774.34</v>
      </c>
      <c r="Q9" s="90">
        <f t="shared" si="2"/>
        <v>12101.95</v>
      </c>
      <c r="R9" s="90">
        <f t="shared" si="2"/>
        <v>7604.780000000001</v>
      </c>
      <c r="S9" s="90">
        <f t="shared" si="2"/>
        <v>7217.34</v>
      </c>
      <c r="T9" s="90">
        <f t="shared" si="2"/>
        <v>11635.62</v>
      </c>
      <c r="U9" s="90">
        <f t="shared" si="2"/>
        <v>8798.289999999999</v>
      </c>
      <c r="V9" s="91">
        <f t="shared" si="2"/>
        <v>9263.089999999998</v>
      </c>
      <c r="W9" s="89">
        <f>SUM(K9:V9)</f>
        <v>126291.95999999998</v>
      </c>
      <c r="X9" s="92">
        <f>SUM(C9:V9)</f>
        <v>955872.2399999998</v>
      </c>
    </row>
    <row r="10" spans="1:24" ht="13.5" thickBot="1">
      <c r="A10" s="43" t="s">
        <v>30</v>
      </c>
      <c r="B10" s="36" t="s">
        <v>4</v>
      </c>
      <c r="C10" s="69">
        <v>15936.55</v>
      </c>
      <c r="D10" s="62">
        <v>20123.51</v>
      </c>
      <c r="E10" s="62">
        <v>19126.48</v>
      </c>
      <c r="F10" s="62">
        <v>23663.17</v>
      </c>
      <c r="G10" s="69">
        <v>29102.92</v>
      </c>
      <c r="H10" s="62">
        <v>26619.61</v>
      </c>
      <c r="I10" s="69">
        <v>23961.85</v>
      </c>
      <c r="J10" s="62">
        <v>24080.16</v>
      </c>
      <c r="K10" s="7">
        <f>1961+76.16</f>
        <v>2037.16</v>
      </c>
      <c r="L10" s="8">
        <f>1961+83.54</f>
        <v>2044.54</v>
      </c>
      <c r="M10" s="8">
        <f>1961+59.32</f>
        <v>2020.32</v>
      </c>
      <c r="N10" s="8">
        <f>1961+167.12</f>
        <v>2128.12</v>
      </c>
      <c r="O10" s="8">
        <f>1961+156.15</f>
        <v>2117.15</v>
      </c>
      <c r="P10" s="8">
        <f>1908+156.37</f>
        <v>2064.37</v>
      </c>
      <c r="Q10" s="8">
        <f>1908+133.43</f>
        <v>2041.43</v>
      </c>
      <c r="R10" s="8">
        <f>1908+168.7</f>
        <v>2076.7</v>
      </c>
      <c r="S10" s="8">
        <f>1908+125.4</f>
        <v>2033.4</v>
      </c>
      <c r="T10" s="8">
        <f>1855+99.14</f>
        <v>1954.14</v>
      </c>
      <c r="U10" s="8">
        <f>1855+115.09</f>
        <v>1970.09</v>
      </c>
      <c r="V10" s="18">
        <f>1855+105.78</f>
        <v>1960.78</v>
      </c>
      <c r="W10" s="47">
        <f aca="true" t="shared" si="3" ref="W10:W25">SUM(K10:V10)</f>
        <v>24448.2</v>
      </c>
      <c r="X10" s="46">
        <f aca="true" t="shared" si="4" ref="X10:X23">SUM(C10:V10)</f>
        <v>207062.45</v>
      </c>
    </row>
    <row r="11" spans="1:24" ht="15.75" customHeight="1" thickBot="1">
      <c r="A11" s="43" t="s">
        <v>31</v>
      </c>
      <c r="B11" s="37" t="s">
        <v>62</v>
      </c>
      <c r="C11" s="70">
        <v>21661.91</v>
      </c>
      <c r="D11" s="63">
        <f>3206.76+913.99</f>
        <v>4120.75</v>
      </c>
      <c r="E11" s="63">
        <v>658.92</v>
      </c>
      <c r="F11" s="63">
        <f>7522.46+1650</f>
        <v>9172.46</v>
      </c>
      <c r="G11" s="70">
        <v>235.3</v>
      </c>
      <c r="H11" s="63">
        <v>2019.73</v>
      </c>
      <c r="I11" s="70">
        <v>62.76</v>
      </c>
      <c r="J11" s="63">
        <v>197.84</v>
      </c>
      <c r="K11" s="9">
        <v>1000</v>
      </c>
      <c r="L11" s="10"/>
      <c r="M11" s="10">
        <v>185</v>
      </c>
      <c r="N11" s="10"/>
      <c r="O11" s="10">
        <v>250</v>
      </c>
      <c r="P11" s="10"/>
      <c r="Q11" s="10"/>
      <c r="R11" s="10"/>
      <c r="S11" s="10"/>
      <c r="T11" s="10"/>
      <c r="U11" s="10"/>
      <c r="V11" s="19"/>
      <c r="W11" s="47">
        <f t="shared" si="3"/>
        <v>1435</v>
      </c>
      <c r="X11" s="46">
        <f t="shared" si="4"/>
        <v>39564.67</v>
      </c>
    </row>
    <row r="12" spans="1:24" ht="25.5" customHeight="1" thickBot="1">
      <c r="A12" s="43" t="s">
        <v>32</v>
      </c>
      <c r="B12" s="35" t="s">
        <v>5</v>
      </c>
      <c r="C12" s="71"/>
      <c r="D12" s="79">
        <v>1617.54</v>
      </c>
      <c r="E12" s="64">
        <v>0</v>
      </c>
      <c r="F12" s="64"/>
      <c r="G12" s="71"/>
      <c r="H12" s="79">
        <v>5575.2</v>
      </c>
      <c r="I12" s="83">
        <v>0</v>
      </c>
      <c r="J12" s="79">
        <v>0</v>
      </c>
      <c r="K12" s="9"/>
      <c r="L12" s="10"/>
      <c r="M12" s="10">
        <v>9800.94</v>
      </c>
      <c r="N12" s="10"/>
      <c r="O12" s="10"/>
      <c r="P12" s="10"/>
      <c r="Q12" s="10"/>
      <c r="R12" s="10"/>
      <c r="S12" s="10"/>
      <c r="T12" s="10"/>
      <c r="U12" s="10"/>
      <c r="V12" s="19"/>
      <c r="W12" s="47">
        <f t="shared" si="3"/>
        <v>9800.94</v>
      </c>
      <c r="X12" s="46">
        <f t="shared" si="4"/>
        <v>16993.68</v>
      </c>
    </row>
    <row r="13" spans="1:24" ht="13.5" customHeight="1" thickBot="1">
      <c r="A13" s="43" t="s">
        <v>33</v>
      </c>
      <c r="B13" s="37" t="s">
        <v>58</v>
      </c>
      <c r="C13" s="70">
        <v>14321.17</v>
      </c>
      <c r="D13" s="63">
        <v>10766.81</v>
      </c>
      <c r="E13" s="63">
        <v>3568.89</v>
      </c>
      <c r="F13" s="63">
        <v>4155.57</v>
      </c>
      <c r="G13" s="70">
        <v>3458.99</v>
      </c>
      <c r="H13" s="63">
        <v>2185.1</v>
      </c>
      <c r="I13" s="70">
        <v>7626.68</v>
      </c>
      <c r="J13" s="63">
        <v>5163.82</v>
      </c>
      <c r="K13" s="9"/>
      <c r="L13" s="10"/>
      <c r="M13" s="10">
        <v>45</v>
      </c>
      <c r="N13" s="10"/>
      <c r="O13" s="10"/>
      <c r="P13" s="10"/>
      <c r="Q13" s="10">
        <v>947.76</v>
      </c>
      <c r="R13" s="10">
        <v>71.4</v>
      </c>
      <c r="S13" s="10"/>
      <c r="T13" s="10">
        <v>4287.6</v>
      </c>
      <c r="U13" s="10"/>
      <c r="V13" s="19"/>
      <c r="W13" s="47">
        <f t="shared" si="3"/>
        <v>5351.76</v>
      </c>
      <c r="X13" s="46">
        <f t="shared" si="4"/>
        <v>56598.79</v>
      </c>
    </row>
    <row r="14" spans="1:24" ht="13.5" customHeight="1" thickBot="1">
      <c r="A14" s="43" t="s">
        <v>65</v>
      </c>
      <c r="B14" s="37" t="s">
        <v>66</v>
      </c>
      <c r="C14" s="70"/>
      <c r="D14" s="63"/>
      <c r="E14" s="63"/>
      <c r="F14" s="63"/>
      <c r="G14" s="70"/>
      <c r="H14" s="63">
        <v>700</v>
      </c>
      <c r="I14" s="70">
        <v>0</v>
      </c>
      <c r="J14" s="63">
        <v>1000</v>
      </c>
      <c r="K14" s="9"/>
      <c r="L14" s="10"/>
      <c r="M14" s="10"/>
      <c r="N14" s="10"/>
      <c r="O14" s="10"/>
      <c r="P14" s="10"/>
      <c r="Q14" s="10">
        <v>1000</v>
      </c>
      <c r="R14" s="10"/>
      <c r="S14" s="10"/>
      <c r="T14" s="10"/>
      <c r="U14" s="10"/>
      <c r="V14" s="19"/>
      <c r="W14" s="47">
        <f>SUM(K14:V14)</f>
        <v>1000</v>
      </c>
      <c r="X14" s="46">
        <f>SUM(C14:V14)</f>
        <v>2700</v>
      </c>
    </row>
    <row r="15" spans="1:24" ht="25.5" customHeight="1" thickBot="1">
      <c r="A15" s="43" t="s">
        <v>34</v>
      </c>
      <c r="B15" s="37" t="s">
        <v>47</v>
      </c>
      <c r="C15" s="70"/>
      <c r="D15" s="63">
        <v>1700</v>
      </c>
      <c r="E15" s="63">
        <v>256</v>
      </c>
      <c r="F15" s="63">
        <v>0</v>
      </c>
      <c r="G15" s="70">
        <v>669.79</v>
      </c>
      <c r="H15" s="63">
        <v>770</v>
      </c>
      <c r="I15" s="70">
        <v>51</v>
      </c>
      <c r="J15" s="63">
        <v>81.9</v>
      </c>
      <c r="K15" s="9">
        <v>14</v>
      </c>
      <c r="L15" s="10">
        <v>78</v>
      </c>
      <c r="M15" s="10"/>
      <c r="N15" s="10"/>
      <c r="O15" s="10"/>
      <c r="P15" s="10"/>
      <c r="Q15" s="10"/>
      <c r="R15" s="10"/>
      <c r="S15" s="10"/>
      <c r="T15" s="10"/>
      <c r="U15" s="10"/>
      <c r="V15" s="19"/>
      <c r="W15" s="47">
        <f>SUM(K15:V15)</f>
        <v>92</v>
      </c>
      <c r="X15" s="46">
        <f t="shared" si="4"/>
        <v>3620.69</v>
      </c>
    </row>
    <row r="16" spans="1:24" ht="12" customHeight="1" thickBot="1">
      <c r="A16" s="43" t="s">
        <v>35</v>
      </c>
      <c r="B16" s="37" t="s">
        <v>72</v>
      </c>
      <c r="C16" s="70">
        <v>7271.32</v>
      </c>
      <c r="D16" s="63">
        <v>10403.24</v>
      </c>
      <c r="E16" s="63">
        <v>5895.79</v>
      </c>
      <c r="F16" s="63">
        <v>0</v>
      </c>
      <c r="G16" s="70"/>
      <c r="H16" s="63">
        <v>0</v>
      </c>
      <c r="I16" s="70">
        <v>0</v>
      </c>
      <c r="J16" s="63">
        <v>10684.55</v>
      </c>
      <c r="K16" s="9">
        <v>1195.19</v>
      </c>
      <c r="L16" s="10">
        <v>1195.19</v>
      </c>
      <c r="M16" s="10">
        <v>1195.19</v>
      </c>
      <c r="N16" s="10">
        <v>1195.19</v>
      </c>
      <c r="O16" s="10">
        <v>1195.19</v>
      </c>
      <c r="P16" s="10">
        <v>1195.19</v>
      </c>
      <c r="Q16" s="10">
        <v>1254.43</v>
      </c>
      <c r="R16" s="10"/>
      <c r="S16" s="10"/>
      <c r="T16" s="10"/>
      <c r="U16" s="10"/>
      <c r="V16" s="19"/>
      <c r="W16" s="47">
        <f t="shared" si="3"/>
        <v>8425.570000000002</v>
      </c>
      <c r="X16" s="46">
        <f t="shared" si="4"/>
        <v>42680.47000000001</v>
      </c>
    </row>
    <row r="17" spans="1:24" ht="12" customHeight="1" thickBot="1">
      <c r="A17" s="43"/>
      <c r="B17" s="37" t="s">
        <v>73</v>
      </c>
      <c r="C17" s="70"/>
      <c r="D17" s="63"/>
      <c r="E17" s="63"/>
      <c r="F17" s="63"/>
      <c r="G17" s="70"/>
      <c r="H17" s="63"/>
      <c r="I17" s="70"/>
      <c r="J17" s="63">
        <v>1569.65</v>
      </c>
      <c r="K17" s="9">
        <v>116.12</v>
      </c>
      <c r="L17" s="10">
        <v>116.12</v>
      </c>
      <c r="M17" s="10">
        <v>116.12</v>
      </c>
      <c r="N17" s="10">
        <v>116.12</v>
      </c>
      <c r="O17" s="10">
        <v>116.12</v>
      </c>
      <c r="P17" s="10">
        <v>99.4</v>
      </c>
      <c r="Q17" s="10">
        <v>70.43</v>
      </c>
      <c r="R17" s="10">
        <v>119.9</v>
      </c>
      <c r="S17" s="10">
        <v>119.9</v>
      </c>
      <c r="T17" s="10">
        <v>119.9</v>
      </c>
      <c r="U17" s="10">
        <v>119.9</v>
      </c>
      <c r="V17" s="19">
        <v>119.9</v>
      </c>
      <c r="W17" s="47">
        <f>SUM(K17:V17)</f>
        <v>1349.9300000000003</v>
      </c>
      <c r="X17" s="46">
        <f>SUM(C17:V17)</f>
        <v>2919.58</v>
      </c>
    </row>
    <row r="18" spans="1:24" ht="13.5" customHeight="1" thickBot="1">
      <c r="A18" s="43" t="s">
        <v>36</v>
      </c>
      <c r="B18" s="37" t="s">
        <v>74</v>
      </c>
      <c r="C18" s="70">
        <v>729.89</v>
      </c>
      <c r="D18" s="63">
        <v>420.08</v>
      </c>
      <c r="E18" s="63">
        <v>484.72</v>
      </c>
      <c r="F18" s="63">
        <v>200.42</v>
      </c>
      <c r="G18" s="70">
        <v>531</v>
      </c>
      <c r="H18" s="63">
        <v>537.45</v>
      </c>
      <c r="I18" s="70">
        <v>428.23</v>
      </c>
      <c r="J18" s="63">
        <v>923.55</v>
      </c>
      <c r="K18" s="9"/>
      <c r="L18" s="10"/>
      <c r="M18" s="10">
        <v>166.14</v>
      </c>
      <c r="N18" s="10"/>
      <c r="O18" s="10"/>
      <c r="P18" s="10">
        <v>166.14</v>
      </c>
      <c r="Q18" s="10"/>
      <c r="R18" s="10"/>
      <c r="S18" s="10">
        <v>207.68</v>
      </c>
      <c r="T18" s="10"/>
      <c r="U18" s="10"/>
      <c r="V18" s="19">
        <v>218.06</v>
      </c>
      <c r="W18" s="47">
        <f t="shared" si="3"/>
        <v>758.02</v>
      </c>
      <c r="X18" s="46">
        <f t="shared" si="4"/>
        <v>5013.3600000000015</v>
      </c>
    </row>
    <row r="19" spans="1:24" ht="33" customHeight="1" thickBot="1">
      <c r="A19" s="43" t="s">
        <v>37</v>
      </c>
      <c r="B19" s="37" t="s">
        <v>63</v>
      </c>
      <c r="C19" s="70">
        <v>1312.05</v>
      </c>
      <c r="D19" s="63">
        <v>4696.82</v>
      </c>
      <c r="E19" s="63">
        <v>6213.57</v>
      </c>
      <c r="F19" s="63">
        <v>5931.98</v>
      </c>
      <c r="G19" s="70">
        <v>3941.47</v>
      </c>
      <c r="H19" s="63">
        <v>4650.74</v>
      </c>
      <c r="I19" s="70">
        <v>4918.04</v>
      </c>
      <c r="J19" s="63">
        <v>4996.84</v>
      </c>
      <c r="K19" s="9">
        <v>435.94</v>
      </c>
      <c r="L19" s="10">
        <v>399.93</v>
      </c>
      <c r="M19" s="10">
        <v>533.36</v>
      </c>
      <c r="N19" s="10">
        <v>415.91</v>
      </c>
      <c r="O19" s="10">
        <v>349.81</v>
      </c>
      <c r="P19" s="10">
        <v>507.01</v>
      </c>
      <c r="Q19" s="10">
        <v>412.42</v>
      </c>
      <c r="R19" s="10">
        <v>421.76</v>
      </c>
      <c r="S19" s="10">
        <v>346.63</v>
      </c>
      <c r="T19" s="10">
        <v>520.33</v>
      </c>
      <c r="U19" s="10">
        <v>460.02</v>
      </c>
      <c r="V19" s="19">
        <v>449.22</v>
      </c>
      <c r="W19" s="47">
        <f t="shared" si="3"/>
        <v>5252.340000000001</v>
      </c>
      <c r="X19" s="46">
        <f t="shared" si="4"/>
        <v>41913.85</v>
      </c>
    </row>
    <row r="20" spans="1:24" ht="33.75" customHeight="1" thickBot="1">
      <c r="A20" s="43" t="s">
        <v>38</v>
      </c>
      <c r="B20" s="37" t="s">
        <v>64</v>
      </c>
      <c r="C20" s="70">
        <v>2307.9</v>
      </c>
      <c r="D20" s="63">
        <v>1873.74</v>
      </c>
      <c r="E20" s="63">
        <v>767.43</v>
      </c>
      <c r="F20" s="63">
        <v>544.97</v>
      </c>
      <c r="G20" s="70">
        <v>1185.7</v>
      </c>
      <c r="H20" s="63">
        <v>801.5</v>
      </c>
      <c r="I20" s="70">
        <v>699.65</v>
      </c>
      <c r="J20" s="63">
        <v>546.56</v>
      </c>
      <c r="K20" s="9">
        <v>43.09</v>
      </c>
      <c r="L20" s="10">
        <v>28.93</v>
      </c>
      <c r="M20" s="10">
        <v>20.54</v>
      </c>
      <c r="N20" s="10">
        <v>28.86</v>
      </c>
      <c r="O20" s="10">
        <v>26.8</v>
      </c>
      <c r="P20" s="10">
        <v>31.96</v>
      </c>
      <c r="Q20" s="10">
        <v>97.73</v>
      </c>
      <c r="R20" s="10">
        <v>25.02</v>
      </c>
      <c r="S20" s="10">
        <v>30.98</v>
      </c>
      <c r="T20" s="10">
        <v>26.83</v>
      </c>
      <c r="U20" s="10">
        <v>128.3</v>
      </c>
      <c r="V20" s="19">
        <v>40.78</v>
      </c>
      <c r="W20" s="47">
        <f t="shared" si="3"/>
        <v>529.82</v>
      </c>
      <c r="X20" s="46">
        <f t="shared" si="4"/>
        <v>9257.27</v>
      </c>
    </row>
    <row r="21" spans="1:24" ht="36" customHeight="1" thickBot="1">
      <c r="A21" s="43" t="s">
        <v>39</v>
      </c>
      <c r="B21" s="37" t="s">
        <v>68</v>
      </c>
      <c r="C21" s="70">
        <v>992.51</v>
      </c>
      <c r="D21" s="63">
        <v>3972.18</v>
      </c>
      <c r="E21" s="63">
        <v>3988.15</v>
      </c>
      <c r="F21" s="63">
        <v>5343.93</v>
      </c>
      <c r="G21" s="70">
        <v>4597.74</v>
      </c>
      <c r="H21" s="63">
        <v>5976.51</v>
      </c>
      <c r="I21" s="70">
        <v>5117.62</v>
      </c>
      <c r="J21" s="63">
        <v>5390.75</v>
      </c>
      <c r="K21" s="9">
        <f>21.56+154.23+238.26</f>
        <v>414.04999999999995</v>
      </c>
      <c r="L21" s="10">
        <f>226.21+23.63+208.64</f>
        <v>458.48</v>
      </c>
      <c r="M21" s="10">
        <f>229.12+23.43+226.43</f>
        <v>478.98</v>
      </c>
      <c r="N21" s="10">
        <f>241.35+23.74+176.39</f>
        <v>441.47999999999996</v>
      </c>
      <c r="O21" s="10">
        <f>292.63+21.33+137.66</f>
        <v>451.62</v>
      </c>
      <c r="P21" s="10">
        <f>235.01+20.01+131.35</f>
        <v>386.37</v>
      </c>
      <c r="Q21" s="10">
        <f>22.51+152.64+296.57</f>
        <v>471.71999999999997</v>
      </c>
      <c r="R21" s="10">
        <f>23.91+231.96+229.91</f>
        <v>485.78</v>
      </c>
      <c r="S21" s="10">
        <f>267.87+18.81+179.4</f>
        <v>466.08000000000004</v>
      </c>
      <c r="T21" s="10">
        <f>25.11+322.83+261.12</f>
        <v>609.06</v>
      </c>
      <c r="U21" s="10">
        <f>20.57+180.07+374.08</f>
        <v>574.72</v>
      </c>
      <c r="V21" s="19">
        <f>339.67+23.79+304.76</f>
        <v>668.22</v>
      </c>
      <c r="W21" s="47">
        <f t="shared" si="3"/>
        <v>5906.5599999999995</v>
      </c>
      <c r="X21" s="46">
        <f t="shared" si="4"/>
        <v>41285.95000000002</v>
      </c>
    </row>
    <row r="22" spans="1:24" ht="15.75" customHeight="1" thickBot="1">
      <c r="A22" s="43" t="s">
        <v>54</v>
      </c>
      <c r="B22" s="37" t="s">
        <v>9</v>
      </c>
      <c r="C22" s="70">
        <v>20926.62</v>
      </c>
      <c r="D22" s="63">
        <v>47475.53</v>
      </c>
      <c r="E22" s="63">
        <v>50099.06</v>
      </c>
      <c r="F22" s="63">
        <v>52819.32</v>
      </c>
      <c r="G22" s="70">
        <v>54086.36</v>
      </c>
      <c r="H22" s="63">
        <v>59128.56</v>
      </c>
      <c r="I22" s="70">
        <v>53701.28</v>
      </c>
      <c r="J22" s="63">
        <v>50530.63</v>
      </c>
      <c r="K22" s="9">
        <f>11199.21-5693.91</f>
        <v>5505.299999999999</v>
      </c>
      <c r="L22" s="10">
        <f>9966.14-4683.82</f>
        <v>5282.32</v>
      </c>
      <c r="M22" s="10">
        <f>20001.42-14972.58</f>
        <v>5028.839999999998</v>
      </c>
      <c r="N22" s="10">
        <f>8835.71-4669.01</f>
        <v>4166.699999999999</v>
      </c>
      <c r="O22" s="10">
        <f>9894.07-4867.93</f>
        <v>5026.139999999999</v>
      </c>
      <c r="P22" s="10">
        <f>9774.34-4781.28</f>
        <v>4993.06</v>
      </c>
      <c r="Q22" s="10">
        <f>12101.95-6846.83</f>
        <v>5255.120000000001</v>
      </c>
      <c r="R22" s="10">
        <f>7604.78-3546.49</f>
        <v>4058.29</v>
      </c>
      <c r="S22" s="10">
        <f>7217.34-3506.05</f>
        <v>3711.29</v>
      </c>
      <c r="T22" s="10">
        <f>11635.62-7836.33</f>
        <v>3799.290000000001</v>
      </c>
      <c r="U22" s="10">
        <f>8798.29-3589.93</f>
        <v>5208.360000000001</v>
      </c>
      <c r="V22" s="19">
        <f>9263.13-3760.13-0.04</f>
        <v>5502.959999999999</v>
      </c>
      <c r="W22" s="47">
        <f t="shared" si="3"/>
        <v>57537.67</v>
      </c>
      <c r="X22" s="46">
        <f t="shared" si="4"/>
        <v>446305.02999999997</v>
      </c>
    </row>
    <row r="23" spans="1:24" ht="13.5" customHeight="1" thickBot="1">
      <c r="A23" s="43" t="s">
        <v>55</v>
      </c>
      <c r="B23" s="38" t="s">
        <v>3</v>
      </c>
      <c r="C23" s="72">
        <v>3483.31</v>
      </c>
      <c r="D23" s="65">
        <v>6982.44</v>
      </c>
      <c r="E23" s="65">
        <v>4487.87</v>
      </c>
      <c r="F23" s="65">
        <v>3911.98</v>
      </c>
      <c r="G23" s="72">
        <v>4137.01</v>
      </c>
      <c r="H23" s="65">
        <v>4022.04</v>
      </c>
      <c r="I23" s="72">
        <v>4057.36</v>
      </c>
      <c r="J23" s="65">
        <v>4470.29</v>
      </c>
      <c r="K23" s="11">
        <f>58.31+380.05</f>
        <v>438.36</v>
      </c>
      <c r="L23" s="12">
        <f>48.24+314.39</f>
        <v>362.63</v>
      </c>
      <c r="M23" s="12">
        <f>54.67+356.32</f>
        <v>410.99</v>
      </c>
      <c r="N23" s="12">
        <f>45.67+297.66</f>
        <v>343.33000000000004</v>
      </c>
      <c r="O23" s="12">
        <f>48.05+313.19</f>
        <v>361.24</v>
      </c>
      <c r="P23" s="12">
        <f>44.01+286.83</f>
        <v>330.84</v>
      </c>
      <c r="Q23" s="12">
        <f>73.46+477.45</f>
        <v>550.91</v>
      </c>
      <c r="R23" s="12">
        <f>46.81+299.12</f>
        <v>345.93</v>
      </c>
      <c r="S23" s="12">
        <f>5.86+295.52</f>
        <v>301.38</v>
      </c>
      <c r="T23" s="12">
        <f>8.56+309.91</f>
        <v>318.47</v>
      </c>
      <c r="U23" s="12">
        <f>6.56+330.34</f>
        <v>336.9</v>
      </c>
      <c r="V23" s="20">
        <f>5.87+297.3</f>
        <v>303.17</v>
      </c>
      <c r="W23" s="47">
        <f t="shared" si="3"/>
        <v>4404.15</v>
      </c>
      <c r="X23" s="46">
        <f t="shared" si="4"/>
        <v>39956.45</v>
      </c>
    </row>
    <row r="24" spans="1:24" ht="13.5" customHeight="1" thickBot="1">
      <c r="A24" s="43"/>
      <c r="B24" s="40" t="s">
        <v>60</v>
      </c>
      <c r="C24" s="73"/>
      <c r="D24" s="66"/>
      <c r="E24" s="66"/>
      <c r="F24" s="66"/>
      <c r="G24" s="80">
        <f>G7*5%</f>
        <v>5339.128000000001</v>
      </c>
      <c r="H24" s="78">
        <f>H7*5%</f>
        <v>5341.704000000001</v>
      </c>
      <c r="I24" s="80">
        <f>I7*5%</f>
        <v>5341.704000000001</v>
      </c>
      <c r="J24" s="85">
        <f>J7*5%</f>
        <v>5341.9800000000005</v>
      </c>
      <c r="K24" s="76">
        <f>K7*5%</f>
        <v>445.28000000000003</v>
      </c>
      <c r="L24" s="76">
        <f aca="true" t="shared" si="5" ref="L24:V24">L7*5%</f>
        <v>445.28000000000003</v>
      </c>
      <c r="M24" s="76">
        <f t="shared" si="5"/>
        <v>445.28000000000003</v>
      </c>
      <c r="N24" s="76">
        <f t="shared" si="5"/>
        <v>445.28000000000003</v>
      </c>
      <c r="O24" s="76">
        <f t="shared" si="5"/>
        <v>445.28000000000003</v>
      </c>
      <c r="P24" s="76">
        <f t="shared" si="5"/>
        <v>445.28000000000003</v>
      </c>
      <c r="Q24" s="76">
        <f t="shared" si="5"/>
        <v>445.28000000000003</v>
      </c>
      <c r="R24" s="76">
        <f t="shared" si="5"/>
        <v>445.28000000000003</v>
      </c>
      <c r="S24" s="76">
        <f t="shared" si="5"/>
        <v>445.28000000000003</v>
      </c>
      <c r="T24" s="76">
        <f t="shared" si="5"/>
        <v>445.28000000000003</v>
      </c>
      <c r="U24" s="76">
        <f t="shared" si="5"/>
        <v>445.28000000000003</v>
      </c>
      <c r="V24" s="76">
        <f t="shared" si="5"/>
        <v>445.28000000000003</v>
      </c>
      <c r="W24" s="78">
        <f t="shared" si="3"/>
        <v>5343.360000000001</v>
      </c>
      <c r="X24" s="75"/>
    </row>
    <row r="25" spans="1:24" ht="13.5" customHeight="1" thickBot="1">
      <c r="A25" s="43" t="s">
        <v>40</v>
      </c>
      <c r="B25" s="40" t="s">
        <v>50</v>
      </c>
      <c r="C25" s="73"/>
      <c r="D25" s="66"/>
      <c r="E25" s="66"/>
      <c r="F25" s="66"/>
      <c r="G25" s="73"/>
      <c r="H25" s="66"/>
      <c r="I25" s="73"/>
      <c r="J25" s="78">
        <f aca="true" t="shared" si="6" ref="J25:V25">SUM(J7+J8-J9)-J24</f>
        <v>4692.210000000016</v>
      </c>
      <c r="K25" s="77">
        <f t="shared" si="6"/>
        <v>-1372.4699999999987</v>
      </c>
      <c r="L25" s="77">
        <f t="shared" si="6"/>
        <v>-139.3999999999972</v>
      </c>
      <c r="M25" s="77">
        <f t="shared" si="6"/>
        <v>-10174.680000000002</v>
      </c>
      <c r="N25" s="77">
        <f t="shared" si="6"/>
        <v>991.0300000000032</v>
      </c>
      <c r="O25" s="77">
        <f t="shared" si="6"/>
        <v>-67.3299999999993</v>
      </c>
      <c r="P25" s="77">
        <f t="shared" si="6"/>
        <v>52.40000000000026</v>
      </c>
      <c r="Q25" s="77">
        <f t="shared" si="6"/>
        <v>-2211.310000000001</v>
      </c>
      <c r="R25" s="77">
        <f t="shared" si="6"/>
        <v>1031.4299999999992</v>
      </c>
      <c r="S25" s="77">
        <f t="shared" si="6"/>
        <v>1418.8699999999997</v>
      </c>
      <c r="T25" s="77">
        <f t="shared" si="6"/>
        <v>-2999.410000000001</v>
      </c>
      <c r="U25" s="77">
        <f t="shared" si="6"/>
        <v>-162.0799999999993</v>
      </c>
      <c r="V25" s="77">
        <f t="shared" si="6"/>
        <v>-626.8799999999985</v>
      </c>
      <c r="W25" s="78">
        <f t="shared" si="3"/>
        <v>-14259.83</v>
      </c>
      <c r="X25" s="31"/>
    </row>
    <row r="26" spans="1:24" ht="22.5" customHeight="1" thickBot="1">
      <c r="A26" s="86" t="s">
        <v>41</v>
      </c>
      <c r="B26" s="94" t="s">
        <v>23</v>
      </c>
      <c r="C26" s="91">
        <f>SUM(C7-C9)</f>
        <v>8536.290000000008</v>
      </c>
      <c r="D26" s="89">
        <f>SUM(D7-D9)</f>
        <v>-7422.520000000004</v>
      </c>
      <c r="E26" s="89">
        <f>SUM(E7-E9)</f>
        <v>11296.400000000009</v>
      </c>
      <c r="F26" s="89">
        <f>SUM(F7-F9)</f>
        <v>1001.9600000000064</v>
      </c>
      <c r="G26" s="95">
        <f>SUM(G7-G9)-G24</f>
        <v>-502.8479999999872</v>
      </c>
      <c r="H26" s="96">
        <f>SUM(H7-H9)-H24</f>
        <v>-11494.063999999988</v>
      </c>
      <c r="I26" s="97">
        <f>SUM(I7-I9)-I24</f>
        <v>867.906</v>
      </c>
      <c r="J26" s="96">
        <f>SUM(J7+J8-J9)-J24</f>
        <v>4692.210000000016</v>
      </c>
      <c r="K26" s="98">
        <f>SUM(K7+K8-K9)-K24</f>
        <v>-1372.4699999999987</v>
      </c>
      <c r="L26" s="99">
        <f>SUM(L25+K26)</f>
        <v>-1511.8699999999958</v>
      </c>
      <c r="M26" s="99">
        <f aca="true" t="shared" si="7" ref="M26:V26">SUM(M25+L26)</f>
        <v>-11686.549999999997</v>
      </c>
      <c r="N26" s="99">
        <f t="shared" si="7"/>
        <v>-10695.519999999995</v>
      </c>
      <c r="O26" s="99">
        <f t="shared" si="7"/>
        <v>-10762.849999999995</v>
      </c>
      <c r="P26" s="99">
        <f t="shared" si="7"/>
        <v>-10710.449999999995</v>
      </c>
      <c r="Q26" s="99">
        <f t="shared" si="7"/>
        <v>-12921.759999999997</v>
      </c>
      <c r="R26" s="99">
        <f t="shared" si="7"/>
        <v>-11890.329999999998</v>
      </c>
      <c r="S26" s="99">
        <f t="shared" si="7"/>
        <v>-10471.46</v>
      </c>
      <c r="T26" s="99">
        <f t="shared" si="7"/>
        <v>-13470.87</v>
      </c>
      <c r="U26" s="99">
        <f t="shared" si="7"/>
        <v>-13632.95</v>
      </c>
      <c r="V26" s="99">
        <f t="shared" si="7"/>
        <v>-14259.83</v>
      </c>
      <c r="W26" s="89"/>
      <c r="X26" s="100"/>
    </row>
    <row r="27" spans="1:24" ht="0.75" customHeight="1" thickBot="1">
      <c r="A27" s="43" t="s">
        <v>42</v>
      </c>
      <c r="B27" s="39" t="s">
        <v>24</v>
      </c>
      <c r="C27" s="68">
        <f>SUM(C7-C9,B27)</f>
        <v>8536.290000000008</v>
      </c>
      <c r="D27" s="47">
        <f>SUM(D7-D9,C27)</f>
        <v>1113.770000000004</v>
      </c>
      <c r="E27" s="47">
        <f>SUM(E7-E9,D27)</f>
        <v>12410.170000000013</v>
      </c>
      <c r="F27" s="47">
        <f>SUM(F7-F9,E27)</f>
        <v>13412.13000000002</v>
      </c>
      <c r="G27" s="81">
        <f>SUM(G26+F27)</f>
        <v>12909.282000000032</v>
      </c>
      <c r="H27" s="78">
        <f>SUM(H26+G27)</f>
        <v>1415.2180000000444</v>
      </c>
      <c r="I27" s="84">
        <f>SUM(I26+H27)</f>
        <v>2283.1240000000444</v>
      </c>
      <c r="J27" s="84">
        <f>SUM(J26+I27)</f>
        <v>6975.334000000061</v>
      </c>
      <c r="K27" s="84">
        <f>SUM(K26+J27)</f>
        <v>5602.864000000062</v>
      </c>
      <c r="L27" s="78">
        <f>SUM(L25+K27)</f>
        <v>5463.464000000065</v>
      </c>
      <c r="M27" s="77">
        <f aca="true" t="shared" si="8" ref="M27:U27">SUM(M25+L27)</f>
        <v>-4711.215999999937</v>
      </c>
      <c r="N27" s="77">
        <f t="shared" si="8"/>
        <v>-3720.1859999999333</v>
      </c>
      <c r="O27" s="77">
        <f t="shared" si="8"/>
        <v>-3787.515999999933</v>
      </c>
      <c r="P27" s="77">
        <f t="shared" si="8"/>
        <v>-3735.1159999999327</v>
      </c>
      <c r="Q27" s="77">
        <f t="shared" si="8"/>
        <v>-5946.425999999934</v>
      </c>
      <c r="R27" s="77">
        <f t="shared" si="8"/>
        <v>-4914.995999999935</v>
      </c>
      <c r="S27" s="77">
        <f t="shared" si="8"/>
        <v>-3496.1259999999347</v>
      </c>
      <c r="T27" s="77">
        <f t="shared" si="8"/>
        <v>-6495.535999999936</v>
      </c>
      <c r="U27" s="77">
        <f t="shared" si="8"/>
        <v>-6657.615999999935</v>
      </c>
      <c r="V27" s="77">
        <f>SUM(V25+U27)</f>
        <v>-7284.495999999934</v>
      </c>
      <c r="W27" s="47"/>
      <c r="X27" s="31"/>
    </row>
    <row r="28" spans="1:24" ht="9" customHeight="1" hidden="1" thickBot="1">
      <c r="A28" s="43" t="s">
        <v>43</v>
      </c>
      <c r="B28" s="39" t="s">
        <v>7</v>
      </c>
      <c r="C28" s="55"/>
      <c r="D28" s="58"/>
      <c r="E28" s="58"/>
      <c r="F28" s="58"/>
      <c r="G28" s="58"/>
      <c r="H28" s="58"/>
      <c r="I28" s="58"/>
      <c r="J28" s="58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1"/>
      <c r="W28" s="47"/>
      <c r="X28" s="25"/>
    </row>
    <row r="29" spans="1:24" ht="15" customHeight="1" hidden="1" thickBot="1">
      <c r="A29" s="44" t="s">
        <v>44</v>
      </c>
      <c r="B29" s="40" t="s">
        <v>25</v>
      </c>
      <c r="C29" s="54"/>
      <c r="D29" s="57"/>
      <c r="E29" s="57"/>
      <c r="F29" s="57"/>
      <c r="G29" s="57"/>
      <c r="H29" s="57"/>
      <c r="I29" s="57"/>
      <c r="J29" s="57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2"/>
      <c r="W29" s="50"/>
      <c r="X29" s="24"/>
    </row>
    <row r="30" spans="1:24" ht="24" customHeight="1" hidden="1" thickBot="1">
      <c r="A30" s="44" t="s">
        <v>45</v>
      </c>
      <c r="B30" s="41" t="s">
        <v>46</v>
      </c>
      <c r="C30" s="56"/>
      <c r="D30" s="59"/>
      <c r="E30" s="59"/>
      <c r="F30" s="59"/>
      <c r="G30" s="59"/>
      <c r="H30" s="59"/>
      <c r="I30" s="59"/>
      <c r="J30" s="5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>
        <f>SUM(V26-V28)</f>
        <v>-14259.83</v>
      </c>
      <c r="W30" s="51"/>
      <c r="X30" s="30"/>
    </row>
    <row r="31" spans="1:24" ht="24" customHeight="1" hidden="1" thickBot="1">
      <c r="A31" s="45" t="s">
        <v>48</v>
      </c>
      <c r="B31" s="41" t="s">
        <v>26</v>
      </c>
      <c r="C31" s="52"/>
      <c r="D31" s="52"/>
      <c r="E31" s="52"/>
      <c r="F31" s="52"/>
      <c r="G31" s="52"/>
      <c r="H31" s="52"/>
      <c r="I31" s="52"/>
      <c r="J31" s="52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>
        <f>SUM(V27-V28)</f>
        <v>-7284.495999999934</v>
      </c>
      <c r="W31" s="51"/>
      <c r="X31" s="30"/>
    </row>
    <row r="32" spans="11:24" ht="9" customHeight="1" hidden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ht="3.75" customHeight="1" hidden="1"/>
    <row r="34" ht="12.75" hidden="1"/>
    <row r="35" ht="12.75" hidden="1"/>
    <row r="36" ht="12.75">
      <c r="B36" t="s">
        <v>67</v>
      </c>
    </row>
    <row r="40" ht="12.75" customHeight="1"/>
    <row r="41" ht="12.75" customHeight="1"/>
  </sheetData>
  <sheetProtection/>
  <mergeCells count="5">
    <mergeCell ref="B4:X4"/>
    <mergeCell ref="B5:X5"/>
    <mergeCell ref="B3:X3"/>
    <mergeCell ref="B1:M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2019-02-11T06:28:20Z</cp:lastPrinted>
  <dcterms:created xsi:type="dcterms:W3CDTF">2011-06-16T11:06:26Z</dcterms:created>
  <dcterms:modified xsi:type="dcterms:W3CDTF">2019-02-12T13:08:25Z</dcterms:modified>
  <cp:category/>
  <cp:version/>
  <cp:contentType/>
  <cp:contentStatus/>
</cp:coreProperties>
</file>