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<sst xmlns="http://schemas.openxmlformats.org/spreadsheetml/2006/main" count="79" uniqueCount="79">
  <si>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</si>
  <si>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</si>
  <si>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</si>
  <si>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</si>
  <si>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</si>
  <si>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</si>
  <si>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</si>
  <si>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</si>
  <si>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</si>
  <si>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</si>
  <si>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</si>
  <si>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</si>
  <si>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</si>
  <si>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</si>
  <si>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</si>
  <si>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</si>
  <si>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</si>
  <si>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</si>
  <si>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</si>
  <si>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</si>
  <si>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</si>
  <si>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</si>
  <si>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</si>
  <si>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</si>
  <si>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</si>
  <si>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</si>
  <si>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</si>
  <si>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</si>
  <si>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</si>
  <si>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</si>
  <si>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</si>
  <si>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</si>
  <si>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4.3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</si>
  <si>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</si>
  <si>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</si>
  <si>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</si>
  <si>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</si>
  <si>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</si>
  <si>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</si>
  <si>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</si>
  <si>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</si>
  <si>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</si>
  <si>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</si>
  <si>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</si>
  <si>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</si>
  <si>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</si>
  <si>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Ленина д.23</t>
  </si>
  <si>
    <t>Благоустройство  территории</t>
  </si>
  <si>
    <t>11</t>
  </si>
  <si>
    <t>Итого за 2011 г</t>
  </si>
  <si>
    <t>Результат за месяц</t>
  </si>
  <si>
    <t>Итого за 2012 г</t>
  </si>
  <si>
    <t>Материалы</t>
  </si>
  <si>
    <t>4.12</t>
  </si>
  <si>
    <t>4.13</t>
  </si>
  <si>
    <t>4.14</t>
  </si>
  <si>
    <t>4.15</t>
  </si>
  <si>
    <t>4.16</t>
  </si>
  <si>
    <t>Итого за 2013 г</t>
  </si>
  <si>
    <t xml:space="preserve">Дом по ул.Ленина д.23 вступил в ООО "Наш дом" с апреля 2010 года                             тариф 10,35 руб                                   </t>
  </si>
  <si>
    <t>Итого за 2014 г</t>
  </si>
  <si>
    <t>рентабельность 5%</t>
  </si>
  <si>
    <t>Итого за 2015 г</t>
  </si>
  <si>
    <t>4.6</t>
  </si>
  <si>
    <t>Проверка вент.каналов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</si>
  <si>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</si>
  <si>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</si>
  <si>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</si>
  <si>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</si>
  <si>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</si>
  <si>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</si>
  <si>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 СОИД</t>
  </si>
  <si>
    <t>Электроэнергия 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</si>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</sst>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1" fillId="0" borderId="29" xfId="0" applyFont="1" applyBorder="1" applyAlignment="1">
      <alignment wrapText="1"/>
    </xf>
    <xf numFmtId="49" fontId="0" fillId="0" borderId="37" xfId="0" applyNumberFormat="1" applyBorder="1" applyAlignment="1">
      <alignment horizontal="center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2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39" xfId="0" applyFont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4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26" fillId="0" borderId="48" xfId="0" applyFont="1" applyBorder="1" applyAlignment="1">
      <alignment wrapText="1"/>
    </xf>
    <xf numFmtId="2" fontId="21" fillId="0" borderId="44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0" fontId="21" fillId="2" borderId="27" xfId="0" applyFont="1" applyFill="1" applyBorder="1" applyAlignment="1">
      <alignment wrapText="1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2" fontId="21" fillId="0" borderId="27" xfId="0" applyNumberFormat="1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9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50" xfId="0" applyFont="1" applyBorder="1" applyAlignment="1">
      <alignment/>
    </xf>
    <xf numFmtId="0" fontId="28" fillId="0" borderId="47" xfId="0" applyFont="1" applyBorder="1" applyAlignment="1">
      <alignment/>
    </xf>
    <xf numFmtId="2" fontId="28" fillId="0" borderId="26" xfId="0" applyNumberFormat="1" applyFont="1" applyBorder="1" applyAlignment="1">
      <alignment/>
    </xf>
    <xf numFmtId="2" fontId="28" fillId="0" borderId="44" xfId="0" applyNumberFormat="1" applyFont="1" applyBorder="1" applyAlignment="1">
      <alignment/>
    </xf>
    <xf numFmtId="2" fontId="28" fillId="0" borderId="47" xfId="0" applyNumberFormat="1" applyFont="1" applyBorder="1" applyAlignment="1">
      <alignment/>
    </xf>
    <xf numFmtId="2" fontId="28" fillId="0" borderId="46" xfId="0" applyNumberFormat="1" applyFont="1" applyBorder="1" applyAlignment="1">
      <alignment/>
    </xf>
    <xf numFmtId="2" fontId="28" fillId="0" borderId="51" xfId="0" applyNumberFormat="1" applyFont="1" applyBorder="1" applyAlignment="1">
      <alignment/>
    </xf>
    <xf numFmtId="0" fontId="22" fillId="0" borderId="4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4">
      <selection activeCell="V26" sqref="V26"/>
    </sheetView>
  </sheetViews>
  <sheetFormatPr defaultColWidth="9.00390625" defaultRowHeight="12.75"/>
  <cols>
    <col min="1" max="1" width="3.75390625" style="31" customWidth="1"/>
    <col min="2" max="2" width="21.00390625" style="0" customWidth="1"/>
    <col min="3" max="3" width="9.875" style="0" hidden="1" customWidth="1"/>
    <col min="4" max="5" width="9.75390625" style="0" hidden="1" customWidth="1"/>
    <col min="6" max="7" width="9.375" style="0" hidden="1" customWidth="1"/>
    <col min="8" max="8" width="9.25390625" style="0" hidden="1" customWidth="1"/>
    <col min="9" max="9" width="1.37890625" style="0" hidden="1" customWidth="1"/>
    <col min="10" max="10" width="9.25390625" style="0" hidden="1" customWidth="1"/>
    <col min="11" max="12" width="8.375" style="0" customWidth="1"/>
    <col min="13" max="13" width="8.875" style="0" customWidth="1"/>
    <col min="14" max="14" width="8.625" style="0" customWidth="1"/>
    <col min="15" max="15" width="8.25390625" style="0" customWidth="1"/>
    <col min="16" max="16" width="8.625" style="0" customWidth="1"/>
    <col min="17" max="17" width="8.125" style="0" customWidth="1"/>
    <col min="18" max="18" width="8.875" style="0" customWidth="1"/>
    <col min="19" max="19" width="8.25390625" style="0" customWidth="1"/>
    <col min="20" max="20" width="8.00390625" style="0" customWidth="1"/>
    <col min="21" max="21" width="8.125" style="0" customWidth="1"/>
    <col min="22" max="22" width="8.75390625" style="0" customWidth="1"/>
    <col min="23" max="23" width="9.00390625" style="0" customWidth="1"/>
    <col min="24" max="24" width="10.125" style="0" customWidth="1"/>
  </cols>
  <sheetData>
    <row r="1" spans="2:29" ht="12.75" customHeight="1">
      <c r="B1" s="108" t="s">
        <v>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8" t="s">
        <v>59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107" t="s">
        <v>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3"/>
      <c r="Z3" s="3"/>
      <c r="AA3" s="3"/>
      <c r="AB3" s="3"/>
      <c r="AC3" s="3"/>
    </row>
    <row r="4" spans="2:29" ht="15" customHeight="1">
      <c r="B4" s="106" t="s">
        <v>11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2"/>
      <c r="Z4" s="2"/>
      <c r="AA4" s="2"/>
      <c r="AB4" s="2"/>
      <c r="AC4" s="2"/>
    </row>
    <row r="5" spans="2:29" ht="16.5" customHeight="1" thickBot="1">
      <c r="B5" s="106" t="s">
        <v>46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0" customHeight="1" thickBot="1">
      <c r="A7" s="40" t="s">
        <v>28</v>
      </c>
      <c r="B7" s="32" t="s">
        <v>7</v>
      </c>
      <c r="C7" s="43" t="s">
        <v>43</v>
      </c>
      <c r="D7" s="53" t="s">
        <v>49</v>
      </c>
      <c r="E7" s="53" t="s">
        <v>51</v>
      </c>
      <c r="F7" s="53" t="s">
        <v>58</v>
      </c>
      <c r="G7" s="53" t="s">
        <v>60</v>
      </c>
      <c r="H7" s="78" t="s">
        <v>62</v>
      </c>
      <c r="I7" s="53" t="s">
        <v>69</v>
      </c>
      <c r="J7" s="53" t="s">
        <v>70</v>
      </c>
      <c r="K7" s="6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21</v>
      </c>
      <c r="U7" s="5" t="s">
        <v>23</v>
      </c>
      <c r="V7" s="15" t="s">
        <v>22</v>
      </c>
      <c r="W7" s="53" t="s">
        <v>77</v>
      </c>
      <c r="X7" s="21" t="s">
        <v>78</v>
      </c>
      <c r="Y7" s="1"/>
      <c r="Z7" s="1"/>
      <c r="AA7" s="1"/>
      <c r="AB7" s="1"/>
      <c r="AC7" s="1"/>
    </row>
    <row r="8" spans="1:24" ht="13.5" thickBot="1">
      <c r="A8" s="41" t="s">
        <v>29</v>
      </c>
      <c r="B8" s="33" t="s">
        <v>1</v>
      </c>
      <c r="C8" s="59">
        <v>246226.96</v>
      </c>
      <c r="D8" s="62">
        <v>328853.08</v>
      </c>
      <c r="E8" s="59">
        <v>352674.61</v>
      </c>
      <c r="F8" s="59">
        <v>369857.36</v>
      </c>
      <c r="G8" s="74">
        <v>369796.35</v>
      </c>
      <c r="H8" s="79">
        <v>376194.28</v>
      </c>
      <c r="I8" s="59">
        <v>369608</v>
      </c>
      <c r="J8" s="59">
        <v>369334.8</v>
      </c>
      <c r="K8" s="7">
        <v>30779.97</v>
      </c>
      <c r="L8" s="8">
        <v>30779.97</v>
      </c>
      <c r="M8" s="8">
        <v>30779.97</v>
      </c>
      <c r="N8" s="8">
        <v>30779.97</v>
      </c>
      <c r="O8" s="8">
        <v>30779.97</v>
      </c>
      <c r="P8" s="8">
        <v>30779.97</v>
      </c>
      <c r="Q8" s="8">
        <v>30779.97</v>
      </c>
      <c r="R8" s="8">
        <v>30779.97</v>
      </c>
      <c r="S8" s="8">
        <v>30779.97</v>
      </c>
      <c r="T8" s="8">
        <v>30779.97</v>
      </c>
      <c r="U8" s="8">
        <v>30779.97</v>
      </c>
      <c r="V8" s="8">
        <v>30779.97</v>
      </c>
      <c r="W8" s="54">
        <f>SUM(K8:V8)</f>
        <v>369359.6399999999</v>
      </c>
      <c r="X8" s="75">
        <f>SUM(C8:V8)</f>
        <v>3151905.080000002</v>
      </c>
    </row>
    <row r="9" spans="1:24" ht="13.5" thickBot="1">
      <c r="A9" s="41"/>
      <c r="B9" s="33" t="s">
        <v>71</v>
      </c>
      <c r="C9" s="74"/>
      <c r="D9" s="62"/>
      <c r="E9" s="74"/>
      <c r="F9" s="74"/>
      <c r="G9" s="74"/>
      <c r="H9" s="62"/>
      <c r="I9" s="74"/>
      <c r="J9" s="74">
        <v>41590.83</v>
      </c>
      <c r="K9" s="7">
        <f>2446.31+102.74+149.56+457.79</f>
        <v>3156.3999999999996</v>
      </c>
      <c r="L9" s="7">
        <f>2446.29+102.74+149.56+457.79</f>
        <v>3156.3799999999997</v>
      </c>
      <c r="M9" s="7">
        <f>2446.29+102.74+149.56+457.79</f>
        <v>3156.3799999999997</v>
      </c>
      <c r="N9" s="7">
        <f>2446.29+102.74+149.56+457.79</f>
        <v>3156.3799999999997</v>
      </c>
      <c r="O9" s="7">
        <f>2446.29+102.74+149.56+457.79</f>
        <v>3156.3799999999997</v>
      </c>
      <c r="P9" s="7">
        <f>2446.29+102.74+149.56+457.79</f>
        <v>3156.3799999999997</v>
      </c>
      <c r="Q9" s="8">
        <f>2567.55+103.43+150.82+472.69</f>
        <v>3294.4900000000002</v>
      </c>
      <c r="R9" s="8">
        <f>103.43+150.82+472.69</f>
        <v>726.94</v>
      </c>
      <c r="S9" s="8">
        <f>103.43+150.82+472.69</f>
        <v>726.94</v>
      </c>
      <c r="T9" s="8">
        <f>103.43+150.82+472.69</f>
        <v>726.94</v>
      </c>
      <c r="U9" s="8">
        <f>103.43+150.82+472.69</f>
        <v>726.94</v>
      </c>
      <c r="V9" s="8">
        <f>103.43+150.82+472.69</f>
        <v>726.94</v>
      </c>
      <c r="W9" s="54">
        <f>SUM(K9:V9)</f>
        <v>25867.48999999999</v>
      </c>
      <c r="X9" s="75">
        <f>SUM(C9:V9)</f>
        <v>67458.31999999999</v>
      </c>
    </row>
    <row r="10" spans="1:24" s="95" customFormat="1" ht="13.5" thickBot="1">
      <c r="A10" s="87" t="s">
        <v>30</v>
      </c>
      <c r="B10" s="88" t="s">
        <v>2</v>
      </c>
      <c r="C10" s="89">
        <f aca="true" t="shared" si="0" ref="C10:K10">SUM(C11:C26)</f>
        <v>213517.11</v>
      </c>
      <c r="D10" s="90">
        <f t="shared" si="0"/>
        <v>358453.58</v>
      </c>
      <c r="E10" s="89">
        <f t="shared" si="0"/>
        <v>429206.74</v>
      </c>
      <c r="F10" s="89">
        <f t="shared" si="0"/>
        <v>338984.48</v>
      </c>
      <c r="G10" s="89">
        <f t="shared" si="0"/>
        <v>359914.70000000007</v>
      </c>
      <c r="H10" s="91">
        <f>SUM(H11:H26)</f>
        <v>342318.47000000003</v>
      </c>
      <c r="I10" s="89">
        <f>SUM(I11:I26)</f>
        <v>338550.77999999997</v>
      </c>
      <c r="J10" s="89">
        <f>SUM(J11:J26)</f>
        <v>380470.2</v>
      </c>
      <c r="K10" s="92">
        <f t="shared" si="0"/>
        <v>30639.05</v>
      </c>
      <c r="L10" s="93">
        <f aca="true" t="shared" si="1" ref="L10:V10">SUM(L11:L26)</f>
        <v>29720.68</v>
      </c>
      <c r="M10" s="93">
        <f t="shared" si="1"/>
        <v>30014.490000000005</v>
      </c>
      <c r="N10" s="93">
        <f t="shared" si="1"/>
        <v>29691.97</v>
      </c>
      <c r="O10" s="93">
        <f t="shared" si="1"/>
        <v>31236.76</v>
      </c>
      <c r="P10" s="93">
        <f t="shared" si="1"/>
        <v>30893.690000000002</v>
      </c>
      <c r="Q10" s="93">
        <f t="shared" si="1"/>
        <v>49048.12999999999</v>
      </c>
      <c r="R10" s="93">
        <f t="shared" si="1"/>
        <v>46611.009999999995</v>
      </c>
      <c r="S10" s="93">
        <f t="shared" si="1"/>
        <v>28829.77</v>
      </c>
      <c r="T10" s="93">
        <f t="shared" si="1"/>
        <v>31679.92</v>
      </c>
      <c r="U10" s="93">
        <f t="shared" si="1"/>
        <v>27772.729999999996</v>
      </c>
      <c r="V10" s="90">
        <f t="shared" si="1"/>
        <v>42423.33999999999</v>
      </c>
      <c r="W10" s="89">
        <f>SUM(K10:V10)</f>
        <v>408561.54</v>
      </c>
      <c r="X10" s="94">
        <f>SUM(C10:V10)</f>
        <v>3169977.5999999996</v>
      </c>
    </row>
    <row r="11" spans="1:24" ht="13.5" thickBot="1">
      <c r="A11" s="41" t="s">
        <v>31</v>
      </c>
      <c r="B11" s="35" t="s">
        <v>4</v>
      </c>
      <c r="C11" s="47">
        <v>50937.17</v>
      </c>
      <c r="D11" s="63">
        <v>74953.22</v>
      </c>
      <c r="E11" s="47">
        <v>77210.71</v>
      </c>
      <c r="F11" s="47">
        <v>82382.93</v>
      </c>
      <c r="G11" s="47">
        <v>85808.26</v>
      </c>
      <c r="H11" s="63">
        <v>77986.04</v>
      </c>
      <c r="I11" s="47">
        <v>77702.91</v>
      </c>
      <c r="J11" s="47">
        <v>77967.2</v>
      </c>
      <c r="K11" s="7">
        <f>6042+236.08</f>
        <v>6278.08</v>
      </c>
      <c r="L11" s="8">
        <f>6042+258.97</f>
        <v>6300.97</v>
      </c>
      <c r="M11" s="8">
        <f>6042+183.9</f>
        <v>6225.9</v>
      </c>
      <c r="N11" s="8">
        <f>6148+530.61</f>
        <v>6678.61</v>
      </c>
      <c r="O11" s="8">
        <f>5724+491.87</f>
        <v>6215.87</v>
      </c>
      <c r="P11" s="8">
        <f>6148+505.2</f>
        <v>6653.2</v>
      </c>
      <c r="Q11" s="8">
        <f>5936+417.4</f>
        <v>6353.4</v>
      </c>
      <c r="R11" s="8">
        <f>5936+527.73</f>
        <v>6463.73</v>
      </c>
      <c r="S11" s="8">
        <f>5936+392.27</f>
        <v>6328.27</v>
      </c>
      <c r="T11" s="8">
        <f>5883+315.68</f>
        <v>6198.68</v>
      </c>
      <c r="U11" s="8">
        <f>5883+366.46</f>
        <v>6249.46</v>
      </c>
      <c r="V11" s="16">
        <f>5883+336.83</f>
        <v>6219.83</v>
      </c>
      <c r="W11" s="52">
        <f aca="true" t="shared" si="2" ref="W11:W28">SUM(K11:V11)</f>
        <v>76166</v>
      </c>
      <c r="X11" s="76">
        <f aca="true" t="shared" si="3" ref="X11:X26">SUM(C11:V11)</f>
        <v>681114.4399999998</v>
      </c>
    </row>
    <row r="12" spans="1:24" ht="13.5" customHeight="1" thickBot="1">
      <c r="A12" s="41" t="s">
        <v>32</v>
      </c>
      <c r="B12" s="36" t="s">
        <v>65</v>
      </c>
      <c r="C12" s="48">
        <v>53324.75</v>
      </c>
      <c r="D12" s="64">
        <v>29971.62</v>
      </c>
      <c r="E12" s="48">
        <f>3255.83+10689.22+4994</f>
        <v>18939.05</v>
      </c>
      <c r="F12" s="48">
        <f>2812.87+8670</f>
        <v>11482.869999999999</v>
      </c>
      <c r="G12" s="48">
        <v>6773.94</v>
      </c>
      <c r="H12" s="64">
        <v>6639.39</v>
      </c>
      <c r="I12" s="48">
        <v>5259.2</v>
      </c>
      <c r="J12" s="48">
        <v>9458.85</v>
      </c>
      <c r="K12" s="9"/>
      <c r="L12" s="10"/>
      <c r="M12" s="10">
        <v>210</v>
      </c>
      <c r="N12" s="10"/>
      <c r="O12" s="10">
        <v>366</v>
      </c>
      <c r="P12" s="10"/>
      <c r="Q12" s="10"/>
      <c r="R12" s="10">
        <v>6413.3</v>
      </c>
      <c r="S12" s="10">
        <v>3178.3</v>
      </c>
      <c r="T12" s="10">
        <v>4000</v>
      </c>
      <c r="U12" s="10"/>
      <c r="V12" s="17"/>
      <c r="W12" s="52">
        <f>SUM(K12:V12)</f>
        <v>14167.6</v>
      </c>
      <c r="X12" s="76">
        <f t="shared" si="3"/>
        <v>156017.27</v>
      </c>
    </row>
    <row r="13" spans="1:24" ht="13.5" customHeight="1" thickBot="1">
      <c r="A13" s="41" t="s">
        <v>33</v>
      </c>
      <c r="B13" s="34" t="s">
        <v>5</v>
      </c>
      <c r="C13" s="48">
        <v>5838.92</v>
      </c>
      <c r="D13" s="64">
        <v>3079.27</v>
      </c>
      <c r="E13" s="48">
        <v>0</v>
      </c>
      <c r="F13" s="48">
        <v>9844.74</v>
      </c>
      <c r="G13" s="48"/>
      <c r="H13" s="64">
        <v>0</v>
      </c>
      <c r="I13" s="48">
        <v>11762.4</v>
      </c>
      <c r="J13" s="48">
        <v>0</v>
      </c>
      <c r="K13" s="9"/>
      <c r="L13" s="10"/>
      <c r="M13" s="10"/>
      <c r="N13" s="10"/>
      <c r="O13" s="10"/>
      <c r="P13" s="10"/>
      <c r="Q13" s="10">
        <v>14408.78</v>
      </c>
      <c r="R13" s="10"/>
      <c r="S13" s="10"/>
      <c r="T13" s="10"/>
      <c r="U13" s="10"/>
      <c r="V13" s="17"/>
      <c r="W13" s="52">
        <f t="shared" si="2"/>
        <v>14408.78</v>
      </c>
      <c r="X13" s="76">
        <f>SUM(C13:V13)</f>
        <v>44934.11</v>
      </c>
    </row>
    <row r="14" spans="1:24" ht="12" customHeight="1" thickBot="1">
      <c r="A14" s="41" t="s">
        <v>34</v>
      </c>
      <c r="B14" s="36" t="s">
        <v>52</v>
      </c>
      <c r="C14" s="48">
        <v>9980.01</v>
      </c>
      <c r="D14" s="64">
        <v>54214.7</v>
      </c>
      <c r="E14" s="48">
        <v>124359.73</v>
      </c>
      <c r="F14" s="48">
        <v>23455.19</v>
      </c>
      <c r="G14" s="48">
        <v>55024.8</v>
      </c>
      <c r="H14" s="64">
        <v>24633.98</v>
      </c>
      <c r="I14" s="48">
        <v>14514.92</v>
      </c>
      <c r="J14" s="48">
        <v>19022.18</v>
      </c>
      <c r="K14" s="9">
        <v>285</v>
      </c>
      <c r="L14" s="10">
        <v>95</v>
      </c>
      <c r="M14" s="10">
        <v>425.85</v>
      </c>
      <c r="N14" s="10">
        <v>90</v>
      </c>
      <c r="O14" s="10">
        <v>561.3</v>
      </c>
      <c r="P14" s="10">
        <v>1283.9</v>
      </c>
      <c r="Q14" s="10">
        <v>3880.26</v>
      </c>
      <c r="R14" s="10">
        <v>10563.8</v>
      </c>
      <c r="S14" s="10">
        <v>60</v>
      </c>
      <c r="T14" s="10">
        <v>853.32</v>
      </c>
      <c r="U14" s="10">
        <v>114</v>
      </c>
      <c r="V14" s="17">
        <v>12688.3</v>
      </c>
      <c r="W14" s="52">
        <f t="shared" si="2"/>
        <v>30900.73</v>
      </c>
      <c r="X14" s="76">
        <f t="shared" si="3"/>
        <v>356106.23999999993</v>
      </c>
    </row>
    <row r="15" spans="1:24" ht="14.25" customHeight="1" thickBot="1">
      <c r="A15" s="41" t="s">
        <v>63</v>
      </c>
      <c r="B15" s="36" t="s">
        <v>64</v>
      </c>
      <c r="C15" s="48"/>
      <c r="D15" s="64"/>
      <c r="E15" s="48"/>
      <c r="F15" s="48"/>
      <c r="G15" s="48"/>
      <c r="H15" s="64">
        <v>2300</v>
      </c>
      <c r="I15" s="48">
        <v>4800</v>
      </c>
      <c r="J15" s="48">
        <v>5300</v>
      </c>
      <c r="K15" s="9"/>
      <c r="L15" s="10"/>
      <c r="M15" s="10"/>
      <c r="N15" s="10"/>
      <c r="O15" s="10">
        <v>1800</v>
      </c>
      <c r="P15" s="10"/>
      <c r="Q15" s="10"/>
      <c r="R15" s="10"/>
      <c r="S15" s="10"/>
      <c r="T15" s="10"/>
      <c r="U15" s="10"/>
      <c r="V15" s="17"/>
      <c r="W15" s="52">
        <f>SUM(K15:V15)</f>
        <v>1800</v>
      </c>
      <c r="X15" s="76">
        <f>SUM(C15:V15)</f>
        <v>14200</v>
      </c>
    </row>
    <row r="16" spans="1:24" ht="21" customHeight="1" thickBot="1">
      <c r="A16" s="41" t="s">
        <v>35</v>
      </c>
      <c r="B16" s="36" t="s">
        <v>47</v>
      </c>
      <c r="C16" s="48"/>
      <c r="D16" s="64">
        <v>7092.88</v>
      </c>
      <c r="E16" s="48">
        <v>256</v>
      </c>
      <c r="F16" s="48">
        <v>0</v>
      </c>
      <c r="G16" s="48">
        <v>64.95</v>
      </c>
      <c r="H16" s="64">
        <v>52.96</v>
      </c>
      <c r="I16" s="48">
        <v>186</v>
      </c>
      <c r="J16" s="48">
        <v>329.97</v>
      </c>
      <c r="K16" s="9">
        <v>14</v>
      </c>
      <c r="L16" s="10">
        <v>78</v>
      </c>
      <c r="M16" s="10"/>
      <c r="N16" s="10"/>
      <c r="O16" s="10"/>
      <c r="P16" s="10"/>
      <c r="Q16" s="10"/>
      <c r="R16" s="10"/>
      <c r="S16" s="10"/>
      <c r="T16" s="10"/>
      <c r="U16" s="10"/>
      <c r="V16" s="17"/>
      <c r="W16" s="52">
        <f t="shared" si="2"/>
        <v>92</v>
      </c>
      <c r="X16" s="76">
        <f t="shared" si="3"/>
        <v>8074.76</v>
      </c>
    </row>
    <row r="17" spans="1:24" ht="12" customHeight="1" thickBot="1">
      <c r="A17" s="41" t="s">
        <v>36</v>
      </c>
      <c r="B17" s="36" t="s">
        <v>72</v>
      </c>
      <c r="C17" s="48">
        <v>6578</v>
      </c>
      <c r="D17" s="64">
        <v>10718.52</v>
      </c>
      <c r="E17" s="48">
        <v>5742.25</v>
      </c>
      <c r="F17" s="48">
        <v>0</v>
      </c>
      <c r="G17" s="48"/>
      <c r="H17" s="64">
        <v>0</v>
      </c>
      <c r="I17" s="48">
        <v>0</v>
      </c>
      <c r="J17" s="48">
        <v>34018.89</v>
      </c>
      <c r="K17" s="9">
        <v>2446.31</v>
      </c>
      <c r="L17" s="9">
        <v>2446.29</v>
      </c>
      <c r="M17" s="9">
        <v>2446.29</v>
      </c>
      <c r="N17" s="9">
        <v>2446.29</v>
      </c>
      <c r="O17" s="9">
        <v>2446.29</v>
      </c>
      <c r="P17" s="9">
        <v>2446.29</v>
      </c>
      <c r="Q17" s="10">
        <v>2567.55</v>
      </c>
      <c r="R17" s="10"/>
      <c r="S17" s="10"/>
      <c r="T17" s="10"/>
      <c r="U17" s="10"/>
      <c r="V17" s="17"/>
      <c r="W17" s="52">
        <f t="shared" si="2"/>
        <v>17245.31</v>
      </c>
      <c r="X17" s="76">
        <f t="shared" si="3"/>
        <v>74302.96999999999</v>
      </c>
    </row>
    <row r="18" spans="1:24" ht="12" customHeight="1" thickBot="1">
      <c r="A18" s="41"/>
      <c r="B18" s="36" t="s">
        <v>74</v>
      </c>
      <c r="C18" s="48"/>
      <c r="D18" s="64"/>
      <c r="E18" s="48"/>
      <c r="F18" s="48"/>
      <c r="G18" s="48"/>
      <c r="H18" s="64"/>
      <c r="I18" s="48"/>
      <c r="J18" s="48">
        <v>1197.89</v>
      </c>
      <c r="K18" s="9">
        <v>102.81</v>
      </c>
      <c r="L18" s="9">
        <v>102.81</v>
      </c>
      <c r="M18" s="9">
        <v>102.81</v>
      </c>
      <c r="N18" s="9">
        <v>102.81</v>
      </c>
      <c r="O18" s="9">
        <v>102.81</v>
      </c>
      <c r="P18" s="9">
        <v>102.81</v>
      </c>
      <c r="Q18" s="10">
        <v>103.44</v>
      </c>
      <c r="R18" s="10">
        <v>103.44</v>
      </c>
      <c r="S18" s="10">
        <v>103.44</v>
      </c>
      <c r="T18" s="10">
        <v>103.44</v>
      </c>
      <c r="U18" s="10">
        <v>103.44</v>
      </c>
      <c r="V18" s="10">
        <v>103.44</v>
      </c>
      <c r="W18" s="52">
        <f>SUM(K18:V18)</f>
        <v>1237.5000000000002</v>
      </c>
      <c r="X18" s="76">
        <f>SUM(C18:V18)</f>
        <v>2435.39</v>
      </c>
    </row>
    <row r="19" spans="1:24" ht="12" customHeight="1" thickBot="1">
      <c r="A19" s="41"/>
      <c r="B19" s="36" t="s">
        <v>73</v>
      </c>
      <c r="C19" s="48"/>
      <c r="D19" s="64"/>
      <c r="E19" s="48"/>
      <c r="F19" s="48"/>
      <c r="G19" s="48"/>
      <c r="H19" s="64"/>
      <c r="I19" s="48"/>
      <c r="J19" s="48">
        <v>6407.02</v>
      </c>
      <c r="K19" s="9">
        <v>457.78</v>
      </c>
      <c r="L19" s="9">
        <v>457.78</v>
      </c>
      <c r="M19" s="9">
        <v>457.78</v>
      </c>
      <c r="N19" s="9">
        <v>457.78</v>
      </c>
      <c r="O19" s="9">
        <v>457.78</v>
      </c>
      <c r="P19" s="9">
        <v>457.78</v>
      </c>
      <c r="Q19" s="10">
        <v>294.18</v>
      </c>
      <c r="R19" s="10">
        <v>471.5</v>
      </c>
      <c r="S19" s="10">
        <v>472.68</v>
      </c>
      <c r="T19" s="10">
        <v>472.68</v>
      </c>
      <c r="U19" s="10">
        <v>472.68</v>
      </c>
      <c r="V19" s="10">
        <v>472.68</v>
      </c>
      <c r="W19" s="52">
        <f>SUM(K19:V19)</f>
        <v>5403.08</v>
      </c>
      <c r="X19" s="76">
        <f>SUM(C19:V19)</f>
        <v>11810.100000000002</v>
      </c>
    </row>
    <row r="20" spans="1:24" ht="12" customHeight="1" thickBot="1">
      <c r="A20" s="41"/>
      <c r="B20" s="36" t="s">
        <v>75</v>
      </c>
      <c r="C20" s="48"/>
      <c r="D20" s="64"/>
      <c r="E20" s="48"/>
      <c r="F20" s="48"/>
      <c r="G20" s="48"/>
      <c r="H20" s="64"/>
      <c r="I20" s="48"/>
      <c r="J20" s="48">
        <v>1043.19</v>
      </c>
      <c r="K20" s="9">
        <v>149.53</v>
      </c>
      <c r="L20" s="9">
        <v>149.53</v>
      </c>
      <c r="M20" s="9">
        <v>149.53</v>
      </c>
      <c r="N20" s="9">
        <v>149.53</v>
      </c>
      <c r="O20" s="9">
        <v>149.53</v>
      </c>
      <c r="P20" s="9">
        <v>149.53</v>
      </c>
      <c r="Q20" s="10">
        <v>150.82</v>
      </c>
      <c r="R20" s="10">
        <v>150.82</v>
      </c>
      <c r="S20" s="10">
        <v>150.82</v>
      </c>
      <c r="T20" s="10">
        <v>150.82</v>
      </c>
      <c r="U20" s="10">
        <v>150.82</v>
      </c>
      <c r="V20" s="10">
        <v>150.82</v>
      </c>
      <c r="W20" s="52">
        <f>SUM(K20:V20)</f>
        <v>1802.0999999999997</v>
      </c>
      <c r="X20" s="76">
        <f>SUM(C20:V20)</f>
        <v>2845.290000000001</v>
      </c>
    </row>
    <row r="21" spans="1:24" ht="12.75" customHeight="1" thickBot="1">
      <c r="A21" s="41" t="s">
        <v>37</v>
      </c>
      <c r="B21" s="36" t="s">
        <v>6</v>
      </c>
      <c r="C21" s="48">
        <v>768.47</v>
      </c>
      <c r="D21" s="64">
        <v>807.18</v>
      </c>
      <c r="E21" s="48">
        <v>726.36</v>
      </c>
      <c r="F21" s="48">
        <v>758.23</v>
      </c>
      <c r="G21" s="48">
        <v>794.96</v>
      </c>
      <c r="H21" s="64">
        <v>815.34</v>
      </c>
      <c r="I21" s="48">
        <v>610.29</v>
      </c>
      <c r="J21" s="48">
        <v>933.52</v>
      </c>
      <c r="K21" s="9"/>
      <c r="L21" s="10"/>
      <c r="M21" s="10">
        <v>193.4</v>
      </c>
      <c r="N21" s="10"/>
      <c r="O21" s="10"/>
      <c r="P21" s="10">
        <v>193.4</v>
      </c>
      <c r="Q21" s="10"/>
      <c r="R21" s="10"/>
      <c r="S21" s="10">
        <v>193.4</v>
      </c>
      <c r="T21" s="10"/>
      <c r="U21" s="10"/>
      <c r="V21" s="17">
        <v>212.77</v>
      </c>
      <c r="W21" s="52">
        <f t="shared" si="2"/>
        <v>792.97</v>
      </c>
      <c r="X21" s="76">
        <f t="shared" si="3"/>
        <v>7007.32</v>
      </c>
    </row>
    <row r="22" spans="1:24" ht="33.75" customHeight="1" thickBot="1">
      <c r="A22" s="41" t="s">
        <v>53</v>
      </c>
      <c r="B22" s="36" t="s">
        <v>76</v>
      </c>
      <c r="C22" s="48">
        <v>4050.5</v>
      </c>
      <c r="D22" s="64">
        <v>14461.06</v>
      </c>
      <c r="E22" s="48">
        <v>18640.57</v>
      </c>
      <c r="F22" s="48">
        <v>16444.87</v>
      </c>
      <c r="G22" s="48">
        <v>12132.26</v>
      </c>
      <c r="H22" s="64">
        <v>14309.36</v>
      </c>
      <c r="I22" s="48">
        <v>15123.88</v>
      </c>
      <c r="J22" s="48">
        <v>15354.15</v>
      </c>
      <c r="K22" s="9">
        <v>1339.31</v>
      </c>
      <c r="L22" s="10">
        <v>1228.67</v>
      </c>
      <c r="M22" s="10">
        <v>1638.58</v>
      </c>
      <c r="N22" s="10">
        <v>1277.75</v>
      </c>
      <c r="O22" s="10">
        <v>1074.69</v>
      </c>
      <c r="P22" s="10">
        <v>1557.63</v>
      </c>
      <c r="Q22" s="10">
        <v>1267.03</v>
      </c>
      <c r="R22" s="10">
        <v>1295.73</v>
      </c>
      <c r="S22" s="10">
        <v>1064.92</v>
      </c>
      <c r="T22" s="10">
        <v>1598.56</v>
      </c>
      <c r="U22" s="10">
        <v>1413.28</v>
      </c>
      <c r="V22" s="17">
        <v>1380.09</v>
      </c>
      <c r="W22" s="52">
        <f t="shared" si="2"/>
        <v>16136.24</v>
      </c>
      <c r="X22" s="76">
        <f t="shared" si="3"/>
        <v>126652.88999999998</v>
      </c>
    </row>
    <row r="23" spans="1:24" ht="26.25" customHeight="1" thickBot="1">
      <c r="A23" s="41" t="s">
        <v>54</v>
      </c>
      <c r="B23" s="36" t="s">
        <v>66</v>
      </c>
      <c r="C23" s="48">
        <v>6659.33</v>
      </c>
      <c r="D23" s="64">
        <v>7870.93</v>
      </c>
      <c r="E23" s="48">
        <v>2359.95</v>
      </c>
      <c r="F23" s="48">
        <v>1678.43</v>
      </c>
      <c r="G23" s="48">
        <v>3649.75</v>
      </c>
      <c r="H23" s="64">
        <v>2466.06</v>
      </c>
      <c r="I23" s="48">
        <v>2151.42</v>
      </c>
      <c r="J23" s="48">
        <v>1679.49</v>
      </c>
      <c r="K23" s="9">
        <v>132.37</v>
      </c>
      <c r="L23" s="10">
        <v>88.88</v>
      </c>
      <c r="M23" s="10">
        <v>63.1</v>
      </c>
      <c r="N23" s="10">
        <v>88.67</v>
      </c>
      <c r="O23" s="10">
        <v>82.33</v>
      </c>
      <c r="P23" s="10">
        <v>98.18</v>
      </c>
      <c r="Q23" s="10">
        <v>300.26</v>
      </c>
      <c r="R23" s="10">
        <v>76.88</v>
      </c>
      <c r="S23" s="10">
        <v>95.19</v>
      </c>
      <c r="T23" s="10">
        <v>82.43</v>
      </c>
      <c r="U23" s="10">
        <v>394.15</v>
      </c>
      <c r="V23" s="17">
        <v>125.3</v>
      </c>
      <c r="W23" s="52">
        <f t="shared" si="2"/>
        <v>1627.74</v>
      </c>
      <c r="X23" s="76">
        <f t="shared" si="3"/>
        <v>30143.100000000002</v>
      </c>
    </row>
    <row r="24" spans="1:24" ht="32.25" customHeight="1" thickBot="1">
      <c r="A24" s="41" t="s">
        <v>55</v>
      </c>
      <c r="B24" s="36" t="s">
        <v>68</v>
      </c>
      <c r="C24" s="48">
        <v>3893.25</v>
      </c>
      <c r="D24" s="64">
        <v>13130.51</v>
      </c>
      <c r="E24" s="48">
        <v>12268.41</v>
      </c>
      <c r="F24" s="48">
        <v>16464.61</v>
      </c>
      <c r="G24" s="48">
        <v>14151.17</v>
      </c>
      <c r="H24" s="64">
        <v>18374.96</v>
      </c>
      <c r="I24" s="48">
        <v>15650.96</v>
      </c>
      <c r="J24" s="48">
        <v>16564.56</v>
      </c>
      <c r="K24" s="9">
        <f>66.25+473.82+731.99</f>
        <v>1272.06</v>
      </c>
      <c r="L24" s="10">
        <f>694.96+72.61+641</f>
        <v>1408.5700000000002</v>
      </c>
      <c r="M24" s="10">
        <f>703.9+71.97+695.65</f>
        <v>1471.52</v>
      </c>
      <c r="N24" s="10">
        <f>741.49+72.94+541.92</f>
        <v>1356.35</v>
      </c>
      <c r="O24" s="10">
        <f>899.02+65.53+422.91</f>
        <v>1387.46</v>
      </c>
      <c r="P24" s="10">
        <f>722.01+61.47+403.55</f>
        <v>1187.03</v>
      </c>
      <c r="Q24" s="10">
        <f>69.17+468.94+911.14</f>
        <v>1449.25</v>
      </c>
      <c r="R24" s="10">
        <f>73.44+712.64+706.34</f>
        <v>1492.42</v>
      </c>
      <c r="S24" s="10">
        <f>822.95+57.78+551.15</f>
        <v>1431.88</v>
      </c>
      <c r="T24" s="10">
        <f>77.13+991.81+802.22</f>
        <v>1871.16</v>
      </c>
      <c r="U24" s="10">
        <f>63.2+553.23+1149.25</f>
        <v>1765.68</v>
      </c>
      <c r="V24" s="17">
        <f>1043.55+73.09+936.27</f>
        <v>2052.91</v>
      </c>
      <c r="W24" s="52">
        <f t="shared" si="2"/>
        <v>18146.29</v>
      </c>
      <c r="X24" s="76">
        <f t="shared" si="3"/>
        <v>128644.72000000002</v>
      </c>
    </row>
    <row r="25" spans="1:24" ht="12" customHeight="1" thickBot="1">
      <c r="A25" s="41" t="s">
        <v>56</v>
      </c>
      <c r="B25" s="36" t="s">
        <v>10</v>
      </c>
      <c r="C25" s="48">
        <v>63118.91</v>
      </c>
      <c r="D25" s="64">
        <v>122253.17</v>
      </c>
      <c r="E25" s="48">
        <v>154095.1</v>
      </c>
      <c r="F25" s="48">
        <v>162669.82</v>
      </c>
      <c r="G25" s="48">
        <v>166489.23</v>
      </c>
      <c r="H25" s="64">
        <v>180925.56</v>
      </c>
      <c r="I25" s="48">
        <v>176903.62</v>
      </c>
      <c r="J25" s="48">
        <v>176363.58</v>
      </c>
      <c r="K25" s="9">
        <f>30639.05-13725.57</f>
        <v>16913.48</v>
      </c>
      <c r="L25" s="10">
        <f>29720.68-13497.29</f>
        <v>16223.39</v>
      </c>
      <c r="M25" s="10">
        <f>30014.49-14564.82</f>
        <v>15449.670000000002</v>
      </c>
      <c r="N25" s="10">
        <f>29691.97-13820.98</f>
        <v>15870.990000000002</v>
      </c>
      <c r="O25" s="10">
        <f>31236.76-15795.37</f>
        <v>15441.389999999998</v>
      </c>
      <c r="P25" s="10">
        <f>30893.69-15332.83</f>
        <v>15560.859999999999</v>
      </c>
      <c r="Q25" s="10">
        <f>49048.13-31933.25</f>
        <v>17114.879999999997</v>
      </c>
      <c r="R25" s="10">
        <f>46611.01-28430.87</f>
        <v>18180.140000000003</v>
      </c>
      <c r="S25" s="10">
        <f>28829.77-14355.68</f>
        <v>14474.09</v>
      </c>
      <c r="T25" s="10">
        <f>31679.92-16935.48</f>
        <v>14744.439999999999</v>
      </c>
      <c r="U25" s="10">
        <f>27772.73-11771.54</f>
        <v>16001.189999999999</v>
      </c>
      <c r="V25" s="17">
        <f>42423.38-25196.96-0.04</f>
        <v>17226.379999999997</v>
      </c>
      <c r="W25" s="52">
        <f t="shared" si="2"/>
        <v>193200.90000000002</v>
      </c>
      <c r="X25" s="76">
        <f t="shared" si="3"/>
        <v>1396019.8899999994</v>
      </c>
    </row>
    <row r="26" spans="1:24" ht="13.5" customHeight="1" thickBot="1">
      <c r="A26" s="41" t="s">
        <v>57</v>
      </c>
      <c r="B26" s="37" t="s">
        <v>3</v>
      </c>
      <c r="C26" s="49">
        <v>8367.8</v>
      </c>
      <c r="D26" s="65">
        <v>19900.52</v>
      </c>
      <c r="E26" s="49">
        <v>14608.61</v>
      </c>
      <c r="F26" s="49">
        <v>13802.79</v>
      </c>
      <c r="G26" s="49">
        <v>15025.38</v>
      </c>
      <c r="H26" s="65">
        <v>13814.82</v>
      </c>
      <c r="I26" s="49">
        <v>13885.18</v>
      </c>
      <c r="J26" s="49">
        <v>14829.71</v>
      </c>
      <c r="K26" s="11">
        <f>20.6+113.29+1114.43</f>
        <v>1248.3200000000002</v>
      </c>
      <c r="L26" s="12">
        <f>106.1+1034.69</f>
        <v>1140.79</v>
      </c>
      <c r="M26" s="12">
        <f>109.76+1070.3</f>
        <v>1180.06</v>
      </c>
      <c r="N26" s="12">
        <f>109.5+1063.69</f>
        <v>1173.19</v>
      </c>
      <c r="O26" s="12">
        <f>107.08+1044.23</f>
        <v>1151.31</v>
      </c>
      <c r="P26" s="12">
        <f>111.9+1091.18</f>
        <v>1203.0800000000002</v>
      </c>
      <c r="Q26" s="12">
        <f>107.73+1050.55</f>
        <v>1158.28</v>
      </c>
      <c r="R26" s="12">
        <f>139.92+1259.33</f>
        <v>1399.25</v>
      </c>
      <c r="S26" s="12">
        <f>43.92+1232.86</f>
        <v>1276.78</v>
      </c>
      <c r="T26" s="12">
        <f>24.9+62.28+1517.21</f>
        <v>1604.39</v>
      </c>
      <c r="U26" s="12">
        <f>28.97+1079.06</f>
        <v>1108.03</v>
      </c>
      <c r="V26" s="19">
        <f>25.66+1765.16</f>
        <v>1790.8200000000002</v>
      </c>
      <c r="W26" s="52">
        <f t="shared" si="2"/>
        <v>15434.300000000001</v>
      </c>
      <c r="X26" s="76">
        <f t="shared" si="3"/>
        <v>129669.11</v>
      </c>
    </row>
    <row r="27" spans="1:24" ht="13.5" customHeight="1" thickBot="1">
      <c r="A27" s="41"/>
      <c r="B27" s="44" t="s">
        <v>61</v>
      </c>
      <c r="C27" s="67"/>
      <c r="D27" s="68"/>
      <c r="E27" s="67"/>
      <c r="F27" s="67"/>
      <c r="G27" s="70">
        <f>G8*5%</f>
        <v>18489.8175</v>
      </c>
      <c r="H27" s="80">
        <f>H8*5%</f>
        <v>18809.714000000004</v>
      </c>
      <c r="I27" s="70">
        <f>I8*5%</f>
        <v>18480.4</v>
      </c>
      <c r="J27" s="86">
        <f>J8*5%</f>
        <v>18466.74</v>
      </c>
      <c r="K27" s="69">
        <f>K8*5%</f>
        <v>1538.9985000000001</v>
      </c>
      <c r="L27" s="69">
        <f aca="true" t="shared" si="4" ref="L27:V27">L8*5%</f>
        <v>1538.9985000000001</v>
      </c>
      <c r="M27" s="69">
        <f t="shared" si="4"/>
        <v>1538.9985000000001</v>
      </c>
      <c r="N27" s="69">
        <f t="shared" si="4"/>
        <v>1538.9985000000001</v>
      </c>
      <c r="O27" s="69">
        <f t="shared" si="4"/>
        <v>1538.9985000000001</v>
      </c>
      <c r="P27" s="69">
        <f t="shared" si="4"/>
        <v>1538.9985000000001</v>
      </c>
      <c r="Q27" s="69">
        <f t="shared" si="4"/>
        <v>1538.9985000000001</v>
      </c>
      <c r="R27" s="69">
        <f t="shared" si="4"/>
        <v>1538.9985000000001</v>
      </c>
      <c r="S27" s="69">
        <f t="shared" si="4"/>
        <v>1538.9985000000001</v>
      </c>
      <c r="T27" s="69">
        <f t="shared" si="4"/>
        <v>1538.9985000000001</v>
      </c>
      <c r="U27" s="69">
        <f t="shared" si="4"/>
        <v>1538.9985000000001</v>
      </c>
      <c r="V27" s="69">
        <f t="shared" si="4"/>
        <v>1538.9985000000001</v>
      </c>
      <c r="W27" s="70">
        <f t="shared" si="2"/>
        <v>18467.982</v>
      </c>
      <c r="X27" s="77"/>
    </row>
    <row r="28" spans="1:24" ht="13.5" customHeight="1" thickBot="1">
      <c r="A28" s="41" t="s">
        <v>38</v>
      </c>
      <c r="B28" s="57" t="s">
        <v>50</v>
      </c>
      <c r="C28" s="58"/>
      <c r="D28" s="66"/>
      <c r="E28" s="58"/>
      <c r="F28" s="58"/>
      <c r="G28" s="58"/>
      <c r="H28" s="66"/>
      <c r="I28" s="58"/>
      <c r="J28" s="82">
        <f aca="true" t="shared" si="5" ref="J28:V28">SUM(J8+J9-J10)-J27</f>
        <v>11988.689999999991</v>
      </c>
      <c r="K28" s="71">
        <f t="shared" si="5"/>
        <v>1758.3215000000032</v>
      </c>
      <c r="L28" s="71">
        <f t="shared" si="5"/>
        <v>2676.671499999998</v>
      </c>
      <c r="M28" s="71">
        <f t="shared" si="5"/>
        <v>2382.861499999993</v>
      </c>
      <c r="N28" s="71">
        <f t="shared" si="5"/>
        <v>2705.3814999999972</v>
      </c>
      <c r="O28" s="71">
        <f t="shared" si="5"/>
        <v>1160.5915</v>
      </c>
      <c r="P28" s="71">
        <f t="shared" si="5"/>
        <v>1503.661499999996</v>
      </c>
      <c r="Q28" s="71">
        <f t="shared" si="5"/>
        <v>-16512.668499999992</v>
      </c>
      <c r="R28" s="71">
        <f t="shared" si="5"/>
        <v>-16643.098499999996</v>
      </c>
      <c r="S28" s="71">
        <f t="shared" si="5"/>
        <v>1138.1414999999993</v>
      </c>
      <c r="T28" s="71">
        <f t="shared" si="5"/>
        <v>-1712.0084999999985</v>
      </c>
      <c r="U28" s="71">
        <f t="shared" si="5"/>
        <v>2195.181500000004</v>
      </c>
      <c r="V28" s="71">
        <f t="shared" si="5"/>
        <v>-12455.428499999989</v>
      </c>
      <c r="W28" s="70">
        <f t="shared" si="2"/>
        <v>-31802.391999999985</v>
      </c>
      <c r="X28" s="77"/>
    </row>
    <row r="29" spans="1:24" ht="24.75" customHeight="1" thickBot="1">
      <c r="A29" s="87" t="s">
        <v>39</v>
      </c>
      <c r="B29" s="96" t="s">
        <v>24</v>
      </c>
      <c r="C29" s="97">
        <v>32709.85</v>
      </c>
      <c r="D29" s="98">
        <f>SUM(D8-D10)</f>
        <v>-29600.5</v>
      </c>
      <c r="E29" s="99">
        <f>SUM(E8-E10)</f>
        <v>-76532.13</v>
      </c>
      <c r="F29" s="99">
        <f>SUM(F8-F10)</f>
        <v>30872.880000000005</v>
      </c>
      <c r="G29" s="100">
        <f>SUM(G8-G10)-G27</f>
        <v>-8608.167500000094</v>
      </c>
      <c r="H29" s="101">
        <f>SUM(H8-H10)-H27</f>
        <v>15066.095999999994</v>
      </c>
      <c r="I29" s="102">
        <f>SUM(I8-I10)-I27</f>
        <v>12576.820000000029</v>
      </c>
      <c r="J29" s="102">
        <f>SUM(J8+J9-J10)-J27</f>
        <v>11988.689999999991</v>
      </c>
      <c r="K29" s="103">
        <f>SUM(K8+K9-K10)-K27</f>
        <v>1758.3215000000032</v>
      </c>
      <c r="L29" s="104">
        <f>SUM(L28+K29)</f>
        <v>4434.993000000001</v>
      </c>
      <c r="M29" s="104">
        <f aca="true" t="shared" si="6" ref="M29:V29">SUM(M28+L29)</f>
        <v>6817.854499999994</v>
      </c>
      <c r="N29" s="104">
        <f t="shared" si="6"/>
        <v>9523.235999999992</v>
      </c>
      <c r="O29" s="104">
        <f t="shared" si="6"/>
        <v>10683.827499999992</v>
      </c>
      <c r="P29" s="104">
        <f t="shared" si="6"/>
        <v>12187.488999999989</v>
      </c>
      <c r="Q29" s="104">
        <f t="shared" si="6"/>
        <v>-4325.179500000004</v>
      </c>
      <c r="R29" s="104">
        <f t="shared" si="6"/>
        <v>-20968.278</v>
      </c>
      <c r="S29" s="104">
        <f t="shared" si="6"/>
        <v>-19830.1365</v>
      </c>
      <c r="T29" s="104">
        <f t="shared" si="6"/>
        <v>-21542.145</v>
      </c>
      <c r="U29" s="104">
        <f t="shared" si="6"/>
        <v>-19346.963499999998</v>
      </c>
      <c r="V29" s="104">
        <f t="shared" si="6"/>
        <v>-31802.391999999985</v>
      </c>
      <c r="W29" s="99"/>
      <c r="X29" s="105"/>
    </row>
    <row r="30" spans="1:24" ht="0.75" customHeight="1" thickBot="1">
      <c r="A30" s="41" t="s">
        <v>40</v>
      </c>
      <c r="B30" s="50" t="s">
        <v>25</v>
      </c>
      <c r="C30" s="44">
        <v>32709.85</v>
      </c>
      <c r="D30" s="18">
        <f>SUM(D8-D10,C30)</f>
        <v>3109.3499999999985</v>
      </c>
      <c r="E30" s="52">
        <f>SUM(E8-E10,D30)</f>
        <v>-73422.78</v>
      </c>
      <c r="F30" s="52">
        <f>SUM(F8-F10,E30)</f>
        <v>-42549.899999999994</v>
      </c>
      <c r="G30" s="73">
        <f>SUM(G29+F30)</f>
        <v>-51158.06750000009</v>
      </c>
      <c r="H30" s="81">
        <f>SUM(H29+G30)</f>
        <v>-36091.9715000001</v>
      </c>
      <c r="I30" s="70">
        <f>SUM(I29+H30)</f>
        <v>-23515.151500000073</v>
      </c>
      <c r="J30" s="70">
        <f>SUM(J29+I30)+2.94</f>
        <v>-11523.52150000008</v>
      </c>
      <c r="K30" s="70">
        <f>SUM(K29+J30)</f>
        <v>-9765.200000000077</v>
      </c>
      <c r="L30" s="72">
        <f>SUM(L28+K30)</f>
        <v>-7088.528500000079</v>
      </c>
      <c r="M30" s="72">
        <f aca="true" t="shared" si="7" ref="M30:U30">SUM(M28+L30)</f>
        <v>-4705.667000000085</v>
      </c>
      <c r="N30" s="72">
        <f t="shared" si="7"/>
        <v>-2000.2855000000877</v>
      </c>
      <c r="O30" s="72">
        <f t="shared" si="7"/>
        <v>-839.6940000000877</v>
      </c>
      <c r="P30" s="72">
        <f t="shared" si="7"/>
        <v>663.9674999999083</v>
      </c>
      <c r="Q30" s="72">
        <f t="shared" si="7"/>
        <v>-15848.701000000085</v>
      </c>
      <c r="R30" s="72">
        <f t="shared" si="7"/>
        <v>-32491.79950000008</v>
      </c>
      <c r="S30" s="72">
        <f>SUM(S28+R30)</f>
        <v>-31353.658000000083</v>
      </c>
      <c r="T30" s="72">
        <f t="shared" si="7"/>
        <v>-33065.66650000008</v>
      </c>
      <c r="U30" s="72">
        <f t="shared" si="7"/>
        <v>-30870.485000000077</v>
      </c>
      <c r="V30" s="72">
        <f>SUM(V28+U30)</f>
        <v>-43325.91350000007</v>
      </c>
      <c r="W30" s="52"/>
      <c r="X30" s="30"/>
    </row>
    <row r="31" spans="1:24" ht="0.75" customHeight="1" hidden="1" thickBot="1">
      <c r="A31" s="41" t="s">
        <v>41</v>
      </c>
      <c r="B31" s="50" t="s">
        <v>8</v>
      </c>
      <c r="C31" s="45"/>
      <c r="D31" s="45"/>
      <c r="E31" s="60"/>
      <c r="F31" s="60"/>
      <c r="G31" s="60"/>
      <c r="H31" s="60"/>
      <c r="I31" s="45"/>
      <c r="J31" s="60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0"/>
      <c r="W31" s="55"/>
      <c r="X31" s="23"/>
    </row>
    <row r="32" spans="1:24" ht="15" customHeight="1" hidden="1" thickBot="1">
      <c r="A32" s="42" t="s">
        <v>42</v>
      </c>
      <c r="B32" s="38" t="s">
        <v>26</v>
      </c>
      <c r="C32" s="45"/>
      <c r="D32" s="45"/>
      <c r="E32" s="60"/>
      <c r="F32" s="60"/>
      <c r="G32" s="60"/>
      <c r="H32" s="60"/>
      <c r="I32" s="45"/>
      <c r="J32" s="60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0"/>
      <c r="W32" s="52"/>
      <c r="X32" s="22"/>
    </row>
    <row r="33" spans="1:24" ht="24" customHeight="1" hidden="1" thickBot="1">
      <c r="A33" s="42" t="s">
        <v>44</v>
      </c>
      <c r="B33" s="39" t="s">
        <v>45</v>
      </c>
      <c r="C33" s="46"/>
      <c r="D33" s="46"/>
      <c r="E33" s="61"/>
      <c r="F33" s="61"/>
      <c r="G33" s="61"/>
      <c r="H33" s="61"/>
      <c r="I33" s="46"/>
      <c r="J33" s="61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>
        <f>SUM(V29-V31)</f>
        <v>-31802.391999999985</v>
      </c>
      <c r="W33" s="56"/>
      <c r="X33" s="29"/>
    </row>
    <row r="34" spans="1:24" ht="24" customHeight="1" hidden="1" thickBot="1">
      <c r="A34" s="51" t="s">
        <v>48</v>
      </c>
      <c r="B34" s="39" t="s">
        <v>27</v>
      </c>
      <c r="C34" s="46"/>
      <c r="D34" s="46"/>
      <c r="E34" s="61"/>
      <c r="F34" s="61"/>
      <c r="G34" s="61"/>
      <c r="H34" s="61"/>
      <c r="I34" s="46"/>
      <c r="J34" s="61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>
        <f>SUM(V30-V31)</f>
        <v>-43325.91350000007</v>
      </c>
      <c r="W34" s="56"/>
      <c r="X34" s="29"/>
    </row>
    <row r="35" spans="3:24" ht="3.75" customHeight="1" hidden="1">
      <c r="C35" s="24"/>
      <c r="D35" s="24"/>
      <c r="E35" s="24"/>
      <c r="F35" s="24"/>
      <c r="G35" s="24"/>
      <c r="H35" s="24"/>
      <c r="I35" s="83"/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</row>
    <row r="36" spans="9:10" ht="8.25" customHeight="1" thickBot="1">
      <c r="I36" s="84"/>
      <c r="J36" s="85"/>
    </row>
    <row r="37" ht="3" customHeight="1" hidden="1"/>
    <row r="38" ht="12.75" hidden="1"/>
    <row r="39" ht="12.75" hidden="1"/>
    <row r="40" ht="12.75">
      <c r="B40" t="s">
        <v>67</v>
      </c>
    </row>
    <row r="44" ht="12.75" customHeight="1"/>
    <row r="45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2019-02-11T07:47:03Z</cp:lastPrinted>
  <dcterms:created xsi:type="dcterms:W3CDTF">2011-06-16T11:06:26Z</dcterms:created>
  <dcterms:modified xsi:type="dcterms:W3CDTF">2019-02-12T13:12:27Z</dcterms:modified>
  <cp:category/>
  <cp:version/>
  <cp:contentType/>
  <cp:contentStatus/>
</cp:coreProperties>
</file>