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<sst xmlns="http://schemas.openxmlformats.org/spreadsheetml/2006/main" count="80" uniqueCount="80">
  <si>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</si>
  <si>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</si>
  <si>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</si>
  <si>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</si>
  <si>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</si>
  <si>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</si>
  <si>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</si>
  <si>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</si>
  <si>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</si>
  <si>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</si>
  <si>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</si>
  <si>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</si>
  <si>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</si>
  <si>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</si>
  <si>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</si>
  <si>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</si>
  <si>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</si>
  <si>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</si>
  <si>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</si>
  <si>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</si>
  <si>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</si>
  <si>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</si>
  <si>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</si>
  <si>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</si>
  <si>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</si>
  <si>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</si>
  <si>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</si>
  <si>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</si>
  <si>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</si>
  <si>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</si>
  <si>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</si>
  <si>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</si>
  <si>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</si>
  <si>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</si>
  <si>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</si>
  <si>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</si>
  <si>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</si>
  <si>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</si>
  <si>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</si>
  <si>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</si>
  <si>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</si>
  <si>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</si>
  <si>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</si>
  <si>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</si>
  <si>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9</t>
  </si>
  <si>
    <t>по жилому дому г. Унеча ул. Ленина д.3</t>
  </si>
  <si>
    <t>за 2009 г</t>
  </si>
  <si>
    <t>за 2010 г</t>
  </si>
  <si>
    <t>10</t>
  </si>
  <si>
    <t>Финансовый результат по дому с начала года</t>
  </si>
  <si>
    <t>Благоустройство территории</t>
  </si>
  <si>
    <t>11</t>
  </si>
  <si>
    <t>Итого за 2011г</t>
  </si>
  <si>
    <t>Проверка дымовых каналов</t>
  </si>
  <si>
    <t>12</t>
  </si>
  <si>
    <t>Результат за месяц</t>
  </si>
  <si>
    <t>Итого за 2012г</t>
  </si>
  <si>
    <t>4.12</t>
  </si>
  <si>
    <t>4.14</t>
  </si>
  <si>
    <t>4.15</t>
  </si>
  <si>
    <t xml:space="preserve">Материалы </t>
  </si>
  <si>
    <t>Итого за 2013г</t>
  </si>
  <si>
    <t>Дом по ул.Ленина д.3 вступил в ООО "Наш дом" с октября 2009 года                                               тариф 9,2 руб</t>
  </si>
  <si>
    <t>Итого за 2014г</t>
  </si>
  <si>
    <t>рентабельность 5%</t>
  </si>
  <si>
    <t>Итого за 2015г</t>
  </si>
  <si>
    <t>Услуги сторонних орган.</t>
  </si>
  <si>
    <t xml:space="preserve">Расходы на управление,аренда, связь 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</si>
  <si>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</si>
  <si>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</si>
  <si>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Итого за 2016г</t>
  </si>
  <si>
    <t>Итого за 2017г</t>
  </si>
  <si>
    <t>Начислено   СОИД</t>
  </si>
  <si>
    <t>Начислено   нежилые</t>
  </si>
  <si>
    <t>Электроэнергия  СОИД</t>
  </si>
  <si>
    <t>Холодная вода СОИД</t>
  </si>
  <si>
    <t>Канализация СОИД</t>
  </si>
  <si>
    <t>Транспортные(ГСМ,зап.части,амортизация,страхован)</t>
  </si>
  <si>
    <t>Итого за 2018г</t>
  </si>
  <si>
    <t>Всего за 2009-2018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</si>
</sst>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49" fontId="0" fillId="0" borderId="36" xfId="0" applyNumberForma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2" fontId="21" fillId="0" borderId="26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5" fillId="0" borderId="27" xfId="0" applyFont="1" applyBorder="1" applyAlignment="1">
      <alignment/>
    </xf>
    <xf numFmtId="0" fontId="26" fillId="0" borderId="32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0" fontId="26" fillId="0" borderId="43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0" fontId="27" fillId="0" borderId="32" xfId="0" applyFont="1" applyBorder="1" applyAlignment="1">
      <alignment/>
    </xf>
    <xf numFmtId="0" fontId="27" fillId="0" borderId="35" xfId="0" applyFont="1" applyBorder="1" applyAlignment="1">
      <alignment/>
    </xf>
    <xf numFmtId="2" fontId="27" fillId="0" borderId="35" xfId="0" applyNumberFormat="1" applyFont="1" applyBorder="1" applyAlignment="1">
      <alignment/>
    </xf>
    <xf numFmtId="0" fontId="27" fillId="0" borderId="27" xfId="0" applyFont="1" applyBorder="1" applyAlignment="1">
      <alignment/>
    </xf>
    <xf numFmtId="2" fontId="21" fillId="0" borderId="31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35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35" xfId="0" applyFont="1" applyBorder="1" applyAlignment="1">
      <alignment/>
    </xf>
    <xf numFmtId="0" fontId="22" fillId="0" borderId="0" xfId="0" applyFont="1" applyAlignment="1">
      <alignment/>
    </xf>
    <xf numFmtId="0" fontId="28" fillId="0" borderId="27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2" fontId="28" fillId="0" borderId="27" xfId="0" applyNumberFormat="1" applyFont="1" applyBorder="1" applyAlignment="1">
      <alignment/>
    </xf>
    <xf numFmtId="2" fontId="28" fillId="0" borderId="23" xfId="0" applyNumberFormat="1" applyFont="1" applyBorder="1" applyAlignment="1">
      <alignment/>
    </xf>
    <xf numFmtId="2" fontId="28" fillId="0" borderId="35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A11">
      <selection activeCell="T16" sqref="T16"/>
    </sheetView>
  </sheetViews>
  <sheetFormatPr defaultColWidth="9.00390625" defaultRowHeight="12.75"/>
  <cols>
    <col min="1" max="1" width="3.25390625" style="29" customWidth="1"/>
    <col min="2" max="2" width="21.625" style="0" customWidth="1"/>
    <col min="3" max="3" width="10.625" style="0" hidden="1" customWidth="1"/>
    <col min="4" max="4" width="9.875" style="0" hidden="1" customWidth="1"/>
    <col min="5" max="5" width="9.375" style="0" hidden="1" customWidth="1"/>
    <col min="6" max="6" width="9.875" style="0" hidden="1" customWidth="1"/>
    <col min="7" max="7" width="9.625" style="0" hidden="1" customWidth="1"/>
    <col min="8" max="8" width="9.25390625" style="0" hidden="1" customWidth="1"/>
    <col min="9" max="9" width="9.625" style="0" hidden="1" customWidth="1"/>
    <col min="10" max="10" width="10.125" style="0" hidden="1" customWidth="1"/>
    <col min="11" max="11" width="9.25390625" style="0" hidden="1" customWidth="1"/>
    <col min="12" max="12" width="8.625" style="0" customWidth="1"/>
    <col min="13" max="13" width="8.75390625" style="0" customWidth="1"/>
    <col min="14" max="14" width="8.25390625" style="0" customWidth="1"/>
    <col min="15" max="15" width="8.625" style="0" customWidth="1"/>
    <col min="16" max="16" width="8.00390625" style="0" customWidth="1"/>
    <col min="17" max="17" width="8.625" style="0" customWidth="1"/>
    <col min="18" max="18" width="8.25390625" style="0" customWidth="1"/>
    <col min="19" max="22" width="8.625" style="0" customWidth="1"/>
    <col min="23" max="23" width="8.375" style="0" customWidth="1"/>
    <col min="24" max="24" width="9.25390625" style="0" customWidth="1"/>
    <col min="25" max="25" width="9.875" style="0" customWidth="1"/>
  </cols>
  <sheetData>
    <row r="1" spans="2:30" ht="12.75" customHeight="1">
      <c r="B1" s="102" t="s">
        <v>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2" t="s">
        <v>62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4"/>
      <c r="X2" s="4"/>
      <c r="Y2" s="4"/>
      <c r="Z2" s="4"/>
      <c r="AA2" s="4"/>
      <c r="AB2" s="4"/>
      <c r="AC2" s="4"/>
      <c r="AD2" s="4"/>
    </row>
    <row r="3" spans="2:30" ht="12.75" customHeight="1">
      <c r="B3" s="101" t="s">
        <v>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3"/>
      <c r="AA3" s="3"/>
      <c r="AB3" s="3"/>
      <c r="AC3" s="3"/>
      <c r="AD3" s="3"/>
    </row>
    <row r="4" spans="2:30" ht="13.5" customHeight="1">
      <c r="B4" s="100" t="s">
        <v>11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2"/>
      <c r="AA4" s="2"/>
      <c r="AB4" s="2"/>
      <c r="AC4" s="2"/>
      <c r="AD4" s="2"/>
    </row>
    <row r="5" spans="2:30" ht="15" customHeight="1" thickBot="1">
      <c r="B5" s="100" t="s">
        <v>45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2"/>
      <c r="AA5" s="2"/>
      <c r="AB5" s="2"/>
      <c r="AC5" s="2"/>
      <c r="AD5" s="2"/>
    </row>
    <row r="6" spans="2:30" ht="0.7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37.5" customHeight="1" thickBot="1">
      <c r="A7" s="39" t="s">
        <v>28</v>
      </c>
      <c r="B7" s="30" t="s">
        <v>7</v>
      </c>
      <c r="C7" s="42" t="s">
        <v>46</v>
      </c>
      <c r="D7" s="46" t="s">
        <v>47</v>
      </c>
      <c r="E7" s="60" t="s">
        <v>52</v>
      </c>
      <c r="F7" s="60" t="s">
        <v>56</v>
      </c>
      <c r="G7" s="60" t="s">
        <v>61</v>
      </c>
      <c r="H7" s="60" t="s">
        <v>63</v>
      </c>
      <c r="I7" s="60" t="s">
        <v>65</v>
      </c>
      <c r="J7" s="60" t="s">
        <v>70</v>
      </c>
      <c r="K7" s="60" t="s">
        <v>71</v>
      </c>
      <c r="L7" s="6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20</v>
      </c>
      <c r="U7" s="5" t="s">
        <v>21</v>
      </c>
      <c r="V7" s="5" t="s">
        <v>23</v>
      </c>
      <c r="W7" s="17" t="s">
        <v>22</v>
      </c>
      <c r="X7" s="60" t="s">
        <v>78</v>
      </c>
      <c r="Y7" s="57" t="s">
        <v>79</v>
      </c>
      <c r="Z7" s="1"/>
      <c r="AA7" s="1"/>
      <c r="AB7" s="1"/>
      <c r="AC7" s="1"/>
      <c r="AD7" s="1"/>
    </row>
    <row r="8" spans="1:25" ht="13.5" thickBot="1">
      <c r="A8" s="40" t="s">
        <v>29</v>
      </c>
      <c r="B8" s="31" t="s">
        <v>1</v>
      </c>
      <c r="C8" s="68">
        <v>53325.04</v>
      </c>
      <c r="D8" s="68">
        <v>210176.91</v>
      </c>
      <c r="E8" s="71">
        <v>224460.17</v>
      </c>
      <c r="F8" s="68">
        <v>226467.2</v>
      </c>
      <c r="G8" s="68">
        <v>223494.75</v>
      </c>
      <c r="H8" s="79">
        <v>224806.6</v>
      </c>
      <c r="I8" s="68">
        <v>227076.48</v>
      </c>
      <c r="J8" s="68">
        <v>227375.83</v>
      </c>
      <c r="K8" s="68">
        <v>193568</v>
      </c>
      <c r="L8" s="7">
        <v>16131.28</v>
      </c>
      <c r="M8" s="8">
        <v>16131.28</v>
      </c>
      <c r="N8" s="8">
        <v>16131.28</v>
      </c>
      <c r="O8" s="8">
        <v>16131.28</v>
      </c>
      <c r="P8" s="8">
        <v>16131.28</v>
      </c>
      <c r="Q8" s="8">
        <v>16131.28</v>
      </c>
      <c r="R8" s="8">
        <v>16131.28</v>
      </c>
      <c r="S8" s="8">
        <v>16131.28</v>
      </c>
      <c r="T8" s="8">
        <v>16131.28</v>
      </c>
      <c r="U8" s="8">
        <f>16131.28+37000</f>
        <v>53131.28</v>
      </c>
      <c r="V8" s="8">
        <v>16131.28</v>
      </c>
      <c r="W8" s="8">
        <v>16131.28</v>
      </c>
      <c r="X8" s="61">
        <f>SUM(L8:W8)</f>
        <v>230575.36000000002</v>
      </c>
      <c r="Y8" s="80">
        <f>SUM(C8:W8)</f>
        <v>2041326.3400000005</v>
      </c>
    </row>
    <row r="9" spans="1:25" ht="13.5" thickBot="1">
      <c r="A9" s="40"/>
      <c r="B9" s="31" t="s">
        <v>72</v>
      </c>
      <c r="C9" s="79"/>
      <c r="D9" s="79"/>
      <c r="E9" s="71"/>
      <c r="F9" s="79"/>
      <c r="G9" s="79"/>
      <c r="H9" s="79"/>
      <c r="I9" s="79"/>
      <c r="J9" s="79">
        <v>0</v>
      </c>
      <c r="K9" s="79">
        <v>15364.43</v>
      </c>
      <c r="L9" s="7">
        <f>1268.24+81.3+71.83</f>
        <v>1421.37</v>
      </c>
      <c r="M9" s="7">
        <f>1268.35+81.3+71.83</f>
        <v>1421.4799999999998</v>
      </c>
      <c r="N9" s="7">
        <f>1268.35+81.3+71.83</f>
        <v>1421.4799999999998</v>
      </c>
      <c r="O9" s="7">
        <f>1268.35+81.3+71.83</f>
        <v>1421.4799999999998</v>
      </c>
      <c r="P9" s="7">
        <f>1342.27+86.09+76</f>
        <v>1504.36</v>
      </c>
      <c r="Q9" s="7">
        <f>1342.27+86.09+76</f>
        <v>1504.36</v>
      </c>
      <c r="R9" s="8">
        <f>1408.78+86.6+76.66</f>
        <v>1572.04</v>
      </c>
      <c r="S9" s="8">
        <f>86.6+76.66</f>
        <v>163.26</v>
      </c>
      <c r="T9" s="8">
        <f>86.6+76.66</f>
        <v>163.26</v>
      </c>
      <c r="U9" s="8">
        <f>86.6+76.66</f>
        <v>163.26</v>
      </c>
      <c r="V9" s="8">
        <f>86.6+76.66</f>
        <v>163.26</v>
      </c>
      <c r="W9" s="8">
        <f>86.6+76.66</f>
        <v>163.26</v>
      </c>
      <c r="X9" s="61">
        <f>SUM(L9:W9)</f>
        <v>11082.87</v>
      </c>
      <c r="Y9" s="80">
        <f>SUM(C9:W9)</f>
        <v>26447.299999999992</v>
      </c>
    </row>
    <row r="10" spans="1:25" ht="13.5" thickBot="1">
      <c r="A10" s="40"/>
      <c r="B10" s="31" t="s">
        <v>73</v>
      </c>
      <c r="C10" s="79"/>
      <c r="D10" s="79"/>
      <c r="E10" s="71"/>
      <c r="F10" s="79"/>
      <c r="G10" s="79"/>
      <c r="H10" s="79"/>
      <c r="I10" s="79"/>
      <c r="J10" s="79">
        <v>0</v>
      </c>
      <c r="K10" s="79">
        <v>30022.33</v>
      </c>
      <c r="L10" s="7">
        <v>2673.66</v>
      </c>
      <c r="M10" s="7">
        <v>2673.66</v>
      </c>
      <c r="N10" s="7">
        <v>2673.66</v>
      </c>
      <c r="O10" s="7">
        <v>2673.66</v>
      </c>
      <c r="P10" s="7">
        <v>2673.66</v>
      </c>
      <c r="Q10" s="7">
        <v>2673.66</v>
      </c>
      <c r="R10" s="8">
        <v>2684.55</v>
      </c>
      <c r="S10" s="8">
        <v>2684.55</v>
      </c>
      <c r="T10" s="8">
        <v>2684.55</v>
      </c>
      <c r="U10" s="8">
        <v>2684.55</v>
      </c>
      <c r="V10" s="8">
        <v>3173.4</v>
      </c>
      <c r="W10" s="8">
        <v>2782.32</v>
      </c>
      <c r="X10" s="61">
        <f>SUM(L10:W10)</f>
        <v>32735.879999999997</v>
      </c>
      <c r="Y10" s="80">
        <f>SUM(C10:W10)</f>
        <v>62758.21000000002</v>
      </c>
    </row>
    <row r="11" spans="1:25" s="92" customFormat="1" ht="13.5" thickBot="1">
      <c r="A11" s="86" t="s">
        <v>30</v>
      </c>
      <c r="B11" s="87" t="s">
        <v>2</v>
      </c>
      <c r="C11" s="88">
        <f aca="true" t="shared" si="0" ref="C11:L11">SUM(C12:C26)</f>
        <v>33591.22</v>
      </c>
      <c r="D11" s="88">
        <f t="shared" si="0"/>
        <v>178641.87000000002</v>
      </c>
      <c r="E11" s="89">
        <f t="shared" si="0"/>
        <v>201726.11999999997</v>
      </c>
      <c r="F11" s="88">
        <f t="shared" si="0"/>
        <v>191522.01</v>
      </c>
      <c r="G11" s="88">
        <f t="shared" si="0"/>
        <v>188501.38</v>
      </c>
      <c r="H11" s="88">
        <f>SUM(H12:H26)</f>
        <v>186513.28</v>
      </c>
      <c r="I11" s="88">
        <f>SUM(I12:I26)</f>
        <v>212004.69</v>
      </c>
      <c r="J11" s="88">
        <f>SUM(J12:J26)</f>
        <v>205014.64</v>
      </c>
      <c r="K11" s="88">
        <f>SUM(K12:K26)</f>
        <v>216292.32</v>
      </c>
      <c r="L11" s="90">
        <f t="shared" si="0"/>
        <v>20133.049999999996</v>
      </c>
      <c r="M11" s="90">
        <f aca="true" t="shared" si="1" ref="M11:W11">SUM(M12:M26)</f>
        <v>33304.08</v>
      </c>
      <c r="N11" s="90">
        <f t="shared" si="1"/>
        <v>17435.43</v>
      </c>
      <c r="O11" s="90">
        <f t="shared" si="1"/>
        <v>17370.06</v>
      </c>
      <c r="P11" s="90">
        <f t="shared" si="1"/>
        <v>17366.46</v>
      </c>
      <c r="Q11" s="90">
        <f t="shared" si="1"/>
        <v>27267.700000000004</v>
      </c>
      <c r="R11" s="90">
        <f t="shared" si="1"/>
        <v>17627.37</v>
      </c>
      <c r="S11" s="90">
        <f t="shared" si="1"/>
        <v>15837.95</v>
      </c>
      <c r="T11" s="90">
        <f t="shared" si="1"/>
        <v>17098.11</v>
      </c>
      <c r="U11" s="90">
        <f t="shared" si="1"/>
        <v>81737.15</v>
      </c>
      <c r="V11" s="90">
        <f t="shared" si="1"/>
        <v>17035.09</v>
      </c>
      <c r="W11" s="89">
        <f t="shared" si="1"/>
        <v>19932.309999999998</v>
      </c>
      <c r="X11" s="88">
        <f>SUM(L11:W11)</f>
        <v>302144.76</v>
      </c>
      <c r="Y11" s="91">
        <f>SUM(C11:W11)</f>
        <v>1915952.2900000003</v>
      </c>
    </row>
    <row r="12" spans="1:25" ht="13.5" thickBot="1">
      <c r="A12" s="40" t="s">
        <v>31</v>
      </c>
      <c r="B12" s="33" t="s">
        <v>4</v>
      </c>
      <c r="C12" s="50">
        <v>9741.68</v>
      </c>
      <c r="D12" s="51">
        <v>40574.94</v>
      </c>
      <c r="E12" s="72">
        <v>42432.05</v>
      </c>
      <c r="F12" s="51">
        <v>45057.41</v>
      </c>
      <c r="G12" s="51">
        <v>47097.76</v>
      </c>
      <c r="H12" s="51">
        <v>52894.71</v>
      </c>
      <c r="I12" s="51">
        <v>48084.6</v>
      </c>
      <c r="J12" s="51">
        <v>48005.46</v>
      </c>
      <c r="K12" s="51">
        <v>48865.99</v>
      </c>
      <c r="L12" s="7">
        <f>3869+152.31</f>
        <v>4021.31</v>
      </c>
      <c r="M12" s="8">
        <f>3869+167.08</f>
        <v>4036.08</v>
      </c>
      <c r="N12" s="8">
        <f>3869+118.65</f>
        <v>3987.65</v>
      </c>
      <c r="O12" s="8">
        <f>3869+334.24</f>
        <v>4203.24</v>
      </c>
      <c r="P12" s="8">
        <f>3763+300.59</f>
        <v>4063.59</v>
      </c>
      <c r="Q12" s="8">
        <f>3763+308.73</f>
        <v>4071.73</v>
      </c>
      <c r="R12" s="8">
        <f>3763+263.44</f>
        <v>4026.44</v>
      </c>
      <c r="S12" s="8">
        <f>3763+333.07</f>
        <v>4096.07</v>
      </c>
      <c r="T12" s="8">
        <f>3763+247.58</f>
        <v>4010.58</v>
      </c>
      <c r="U12" s="8">
        <f>3710+198.28</f>
        <v>3908.28</v>
      </c>
      <c r="V12" s="8">
        <f>3710+230.17</f>
        <v>3940.17</v>
      </c>
      <c r="W12" s="18">
        <f>3869+222.7</f>
        <v>4091.7</v>
      </c>
      <c r="X12" s="62">
        <f aca="true" t="shared" si="2" ref="X12:X28">SUM(L12:W12)</f>
        <v>48456.83999999999</v>
      </c>
      <c r="Y12" s="81">
        <f aca="true" t="shared" si="3" ref="Y12:Y26">SUM(C12:W12)</f>
        <v>431211.4400000001</v>
      </c>
    </row>
    <row r="13" spans="1:25" ht="12" customHeight="1" thickBot="1">
      <c r="A13" s="40" t="s">
        <v>32</v>
      </c>
      <c r="B13" s="34" t="s">
        <v>66</v>
      </c>
      <c r="C13" s="52">
        <v>18794.94</v>
      </c>
      <c r="D13" s="53">
        <v>52318.16</v>
      </c>
      <c r="E13" s="73">
        <v>18609.6</v>
      </c>
      <c r="F13" s="53">
        <f>5352.39+5418</f>
        <v>10770.39</v>
      </c>
      <c r="G13" s="53">
        <v>5709.57</v>
      </c>
      <c r="H13" s="53">
        <v>1837.84</v>
      </c>
      <c r="I13" s="53">
        <v>6636.77</v>
      </c>
      <c r="J13" s="53">
        <v>5627.13</v>
      </c>
      <c r="K13" s="53">
        <v>3549.65</v>
      </c>
      <c r="L13" s="9">
        <v>2300</v>
      </c>
      <c r="M13" s="10">
        <v>6725</v>
      </c>
      <c r="N13" s="10"/>
      <c r="O13" s="10"/>
      <c r="P13" s="10">
        <v>270</v>
      </c>
      <c r="Q13" s="10"/>
      <c r="R13" s="10"/>
      <c r="S13" s="10"/>
      <c r="T13" s="10"/>
      <c r="U13" s="10"/>
      <c r="V13" s="10"/>
      <c r="W13" s="19">
        <v>2520</v>
      </c>
      <c r="X13" s="62">
        <f>SUM(L13:W13)</f>
        <v>11815</v>
      </c>
      <c r="Y13" s="81">
        <f t="shared" si="3"/>
        <v>135669.05</v>
      </c>
    </row>
    <row r="14" spans="1:25" ht="15.75" customHeight="1" thickBot="1">
      <c r="A14" s="40" t="s">
        <v>33</v>
      </c>
      <c r="B14" s="32" t="s">
        <v>5</v>
      </c>
      <c r="C14" s="52">
        <v>0</v>
      </c>
      <c r="D14" s="53">
        <v>0</v>
      </c>
      <c r="E14" s="73">
        <v>0</v>
      </c>
      <c r="F14" s="53">
        <v>3736.26</v>
      </c>
      <c r="G14" s="53">
        <v>0</v>
      </c>
      <c r="H14" s="53"/>
      <c r="I14" s="53">
        <v>8332.5</v>
      </c>
      <c r="J14" s="53">
        <v>0</v>
      </c>
      <c r="K14" s="53">
        <v>0</v>
      </c>
      <c r="L14" s="9"/>
      <c r="M14" s="10"/>
      <c r="N14" s="10"/>
      <c r="O14" s="10"/>
      <c r="P14" s="10"/>
      <c r="Q14" s="10">
        <v>8009.75</v>
      </c>
      <c r="R14" s="10"/>
      <c r="S14" s="10"/>
      <c r="T14" s="10"/>
      <c r="U14" s="10"/>
      <c r="V14" s="10"/>
      <c r="W14" s="19"/>
      <c r="X14" s="62">
        <f t="shared" si="2"/>
        <v>8009.75</v>
      </c>
      <c r="Y14" s="81">
        <f t="shared" si="3"/>
        <v>20078.510000000002</v>
      </c>
    </row>
    <row r="15" spans="1:25" ht="14.25" customHeight="1" thickBot="1">
      <c r="A15" s="40" t="s">
        <v>34</v>
      </c>
      <c r="B15" s="32" t="s">
        <v>53</v>
      </c>
      <c r="C15" s="52">
        <v>0</v>
      </c>
      <c r="D15" s="53">
        <v>0</v>
      </c>
      <c r="E15" s="73">
        <v>2316.58</v>
      </c>
      <c r="F15" s="53">
        <v>0</v>
      </c>
      <c r="G15" s="53">
        <v>0</v>
      </c>
      <c r="H15" s="53"/>
      <c r="I15" s="53">
        <v>1900</v>
      </c>
      <c r="J15" s="53">
        <v>2800</v>
      </c>
      <c r="K15" s="53">
        <v>1800</v>
      </c>
      <c r="L15" s="9"/>
      <c r="M15" s="10"/>
      <c r="N15" s="10"/>
      <c r="O15" s="10"/>
      <c r="P15" s="10"/>
      <c r="Q15" s="10">
        <v>2200</v>
      </c>
      <c r="R15" s="10"/>
      <c r="S15" s="10"/>
      <c r="T15" s="10"/>
      <c r="U15" s="10"/>
      <c r="V15" s="10"/>
      <c r="W15" s="19"/>
      <c r="X15" s="62">
        <f t="shared" si="2"/>
        <v>2200</v>
      </c>
      <c r="Y15" s="81">
        <f t="shared" si="3"/>
        <v>11016.58</v>
      </c>
    </row>
    <row r="16" spans="1:25" ht="14.25" customHeight="1" thickBot="1">
      <c r="A16" s="40" t="s">
        <v>35</v>
      </c>
      <c r="B16" s="34" t="s">
        <v>60</v>
      </c>
      <c r="C16" s="52">
        <v>556.85</v>
      </c>
      <c r="D16" s="53">
        <v>15934.78</v>
      </c>
      <c r="E16" s="73">
        <v>16127.1</v>
      </c>
      <c r="F16" s="53">
        <v>2879.81</v>
      </c>
      <c r="G16" s="53">
        <v>4800.26</v>
      </c>
      <c r="H16" s="53">
        <v>5291.04</v>
      </c>
      <c r="I16" s="53">
        <v>9223.78</v>
      </c>
      <c r="J16" s="53">
        <v>15308.24</v>
      </c>
      <c r="K16" s="53">
        <v>9577.67</v>
      </c>
      <c r="L16" s="9">
        <v>75</v>
      </c>
      <c r="M16" s="10">
        <f>4857.14+2650</f>
        <v>7507.14</v>
      </c>
      <c r="N16" s="10">
        <v>291.67</v>
      </c>
      <c r="O16" s="10">
        <v>159</v>
      </c>
      <c r="P16" s="10">
        <v>224</v>
      </c>
      <c r="Q16" s="10">
        <v>75</v>
      </c>
      <c r="R16" s="10">
        <v>60</v>
      </c>
      <c r="S16" s="10">
        <v>86.4</v>
      </c>
      <c r="T16" s="10">
        <v>1108.84</v>
      </c>
      <c r="U16" s="10">
        <f>61117.08+1135</f>
        <v>62252.08</v>
      </c>
      <c r="V16" s="10">
        <v>798.21</v>
      </c>
      <c r="W16" s="19">
        <v>300</v>
      </c>
      <c r="X16" s="62">
        <f t="shared" si="2"/>
        <v>72937.34000000001</v>
      </c>
      <c r="Y16" s="81">
        <f t="shared" si="3"/>
        <v>152636.86999999997</v>
      </c>
    </row>
    <row r="17" spans="1:25" ht="21.75" customHeight="1" thickBot="1">
      <c r="A17" s="40" t="s">
        <v>36</v>
      </c>
      <c r="B17" s="34" t="s">
        <v>50</v>
      </c>
      <c r="C17" s="52">
        <v>0</v>
      </c>
      <c r="D17" s="53">
        <v>0</v>
      </c>
      <c r="E17" s="73">
        <v>6101.48</v>
      </c>
      <c r="F17" s="53">
        <v>256</v>
      </c>
      <c r="G17" s="53">
        <v>0</v>
      </c>
      <c r="H17" s="53">
        <v>37.81</v>
      </c>
      <c r="I17" s="53">
        <v>52.96</v>
      </c>
      <c r="J17" s="53">
        <v>186</v>
      </c>
      <c r="K17" s="53">
        <v>266.81</v>
      </c>
      <c r="L17" s="9">
        <v>14</v>
      </c>
      <c r="M17" s="10">
        <v>78</v>
      </c>
      <c r="N17" s="10"/>
      <c r="O17" s="10"/>
      <c r="P17" s="10"/>
      <c r="Q17" s="10"/>
      <c r="R17" s="10"/>
      <c r="S17" s="10"/>
      <c r="T17" s="10"/>
      <c r="U17" s="10"/>
      <c r="V17" s="10"/>
      <c r="W17" s="19"/>
      <c r="X17" s="62">
        <f t="shared" si="2"/>
        <v>92</v>
      </c>
      <c r="Y17" s="81">
        <f t="shared" si="3"/>
        <v>6993.06</v>
      </c>
    </row>
    <row r="18" spans="1:25" ht="14.25" customHeight="1" thickBot="1">
      <c r="A18" s="40" t="s">
        <v>37</v>
      </c>
      <c r="B18" s="34" t="s">
        <v>74</v>
      </c>
      <c r="C18" s="52">
        <v>1751.2</v>
      </c>
      <c r="D18" s="53">
        <v>5328.42</v>
      </c>
      <c r="E18" s="73">
        <v>5853.86</v>
      </c>
      <c r="F18" s="53">
        <v>3315.07</v>
      </c>
      <c r="G18" s="53">
        <v>0</v>
      </c>
      <c r="H18" s="53"/>
      <c r="I18" s="53">
        <v>0</v>
      </c>
      <c r="J18" s="53">
        <v>0</v>
      </c>
      <c r="K18" s="53">
        <v>14080.19</v>
      </c>
      <c r="L18" s="9">
        <v>1268.24</v>
      </c>
      <c r="M18" s="9">
        <v>1268.35</v>
      </c>
      <c r="N18" s="9">
        <v>1268.35</v>
      </c>
      <c r="O18" s="9">
        <v>1268.35</v>
      </c>
      <c r="P18" s="9">
        <v>1342.27</v>
      </c>
      <c r="Q18" s="9">
        <v>1342.27</v>
      </c>
      <c r="R18" s="10">
        <v>1408.78</v>
      </c>
      <c r="S18" s="10"/>
      <c r="T18" s="10"/>
      <c r="U18" s="10"/>
      <c r="V18" s="10"/>
      <c r="W18" s="19"/>
      <c r="X18" s="62">
        <f t="shared" si="2"/>
        <v>9166.61</v>
      </c>
      <c r="Y18" s="81">
        <f t="shared" si="3"/>
        <v>39495.34999999999</v>
      </c>
    </row>
    <row r="19" spans="1:25" ht="14.25" customHeight="1" thickBot="1">
      <c r="A19" s="40"/>
      <c r="B19" s="34" t="s">
        <v>75</v>
      </c>
      <c r="C19" s="52"/>
      <c r="D19" s="53"/>
      <c r="E19" s="73"/>
      <c r="F19" s="53"/>
      <c r="G19" s="53"/>
      <c r="H19" s="53"/>
      <c r="I19" s="53"/>
      <c r="J19" s="53"/>
      <c r="K19" s="53">
        <v>904.41</v>
      </c>
      <c r="L19" s="9">
        <v>95.11</v>
      </c>
      <c r="M19" s="9">
        <v>95.11</v>
      </c>
      <c r="N19" s="9">
        <v>95.11</v>
      </c>
      <c r="O19" s="9">
        <v>95.11</v>
      </c>
      <c r="P19" s="9">
        <v>95.11</v>
      </c>
      <c r="Q19" s="9">
        <v>95.11</v>
      </c>
      <c r="R19" s="10">
        <v>95.7</v>
      </c>
      <c r="S19" s="10">
        <v>95.7</v>
      </c>
      <c r="T19" s="10">
        <v>95.7</v>
      </c>
      <c r="U19" s="10">
        <v>95.7</v>
      </c>
      <c r="V19" s="10">
        <v>95.7</v>
      </c>
      <c r="W19" s="10">
        <v>95.7</v>
      </c>
      <c r="X19" s="62">
        <f t="shared" si="2"/>
        <v>1144.8600000000001</v>
      </c>
      <c r="Y19" s="81">
        <f t="shared" si="3"/>
        <v>2049.2699999999995</v>
      </c>
    </row>
    <row r="20" spans="1:25" ht="14.25" customHeight="1" thickBot="1">
      <c r="A20" s="40"/>
      <c r="B20" s="34" t="s">
        <v>76</v>
      </c>
      <c r="C20" s="52"/>
      <c r="D20" s="53"/>
      <c r="E20" s="73"/>
      <c r="F20" s="53"/>
      <c r="G20" s="53"/>
      <c r="H20" s="53"/>
      <c r="I20" s="53"/>
      <c r="J20" s="53"/>
      <c r="K20" s="53">
        <v>585.95</v>
      </c>
      <c r="L20" s="9">
        <v>83.99</v>
      </c>
      <c r="M20" s="9">
        <v>83.99</v>
      </c>
      <c r="N20" s="9">
        <v>83.99</v>
      </c>
      <c r="O20" s="9">
        <v>83.99</v>
      </c>
      <c r="P20" s="9">
        <v>83.99</v>
      </c>
      <c r="Q20" s="9">
        <v>83.99</v>
      </c>
      <c r="R20" s="10">
        <v>84.71</v>
      </c>
      <c r="S20" s="10">
        <v>84.71</v>
      </c>
      <c r="T20" s="10">
        <v>84.71</v>
      </c>
      <c r="U20" s="10">
        <v>84.71</v>
      </c>
      <c r="V20" s="10">
        <v>84.71</v>
      </c>
      <c r="W20" s="10">
        <v>84.71</v>
      </c>
      <c r="X20" s="62">
        <f>SUM(L20:W20)</f>
        <v>1012.2000000000002</v>
      </c>
      <c r="Y20" s="81">
        <f>SUM(C20:W20)</f>
        <v>1598.1500000000003</v>
      </c>
    </row>
    <row r="21" spans="1:25" ht="12.75" customHeight="1" thickBot="1">
      <c r="A21" s="40" t="s">
        <v>38</v>
      </c>
      <c r="B21" s="34" t="s">
        <v>6</v>
      </c>
      <c r="C21" s="52">
        <v>251.97</v>
      </c>
      <c r="D21" s="53">
        <v>1502.71</v>
      </c>
      <c r="E21" s="73">
        <v>347.09</v>
      </c>
      <c r="F21" s="53">
        <v>334.41</v>
      </c>
      <c r="G21" s="53">
        <v>2639.18</v>
      </c>
      <c r="H21" s="53">
        <v>339.18</v>
      </c>
      <c r="I21" s="53">
        <v>367.61</v>
      </c>
      <c r="J21" s="53">
        <v>320.49</v>
      </c>
      <c r="K21" s="53">
        <v>381.11</v>
      </c>
      <c r="L21" s="9"/>
      <c r="M21" s="10"/>
      <c r="N21" s="10">
        <v>132.4</v>
      </c>
      <c r="O21" s="10"/>
      <c r="P21" s="10"/>
      <c r="Q21" s="10">
        <v>46.75</v>
      </c>
      <c r="R21" s="10"/>
      <c r="S21" s="10"/>
      <c r="T21" s="10">
        <v>154.76</v>
      </c>
      <c r="U21" s="10"/>
      <c r="V21" s="10"/>
      <c r="W21" s="19">
        <v>198.96</v>
      </c>
      <c r="X21" s="62">
        <f t="shared" si="2"/>
        <v>532.87</v>
      </c>
      <c r="Y21" s="82">
        <f>SUM(C21:W21)</f>
        <v>7016.619999999999</v>
      </c>
    </row>
    <row r="22" spans="1:25" ht="27.75" customHeight="1" thickBot="1">
      <c r="A22" s="40" t="s">
        <v>39</v>
      </c>
      <c r="B22" s="34" t="s">
        <v>77</v>
      </c>
      <c r="C22" s="52">
        <v>0</v>
      </c>
      <c r="D22" s="53">
        <v>2535.16</v>
      </c>
      <c r="E22" s="73">
        <v>8977.52</v>
      </c>
      <c r="F22" s="53">
        <v>11331.58</v>
      </c>
      <c r="G22" s="53">
        <v>10550.41</v>
      </c>
      <c r="H22" s="53">
        <v>7322.06</v>
      </c>
      <c r="I22" s="53">
        <v>8427.34</v>
      </c>
      <c r="J22" s="53">
        <v>8912.14</v>
      </c>
      <c r="K22" s="53">
        <v>9053.01</v>
      </c>
      <c r="L22" s="9">
        <v>789.65</v>
      </c>
      <c r="M22" s="10">
        <v>724.42</v>
      </c>
      <c r="N22" s="10">
        <v>966.1</v>
      </c>
      <c r="O22" s="10">
        <v>753.36</v>
      </c>
      <c r="P22" s="10">
        <v>633.64</v>
      </c>
      <c r="Q22" s="10">
        <v>918.37</v>
      </c>
      <c r="R22" s="10">
        <v>747.03</v>
      </c>
      <c r="S22" s="10">
        <v>763.96</v>
      </c>
      <c r="T22" s="10">
        <v>627.87</v>
      </c>
      <c r="U22" s="10">
        <v>942.5</v>
      </c>
      <c r="V22" s="10">
        <v>833.26</v>
      </c>
      <c r="W22" s="19">
        <v>813.7</v>
      </c>
      <c r="X22" s="62">
        <f t="shared" si="2"/>
        <v>9513.86</v>
      </c>
      <c r="Y22" s="81">
        <f t="shared" si="3"/>
        <v>76623.07999999997</v>
      </c>
    </row>
    <row r="23" spans="1:25" ht="24" customHeight="1" thickBot="1">
      <c r="A23" s="40" t="s">
        <v>40</v>
      </c>
      <c r="B23" s="34" t="s">
        <v>67</v>
      </c>
      <c r="C23" s="52">
        <v>997.11</v>
      </c>
      <c r="D23" s="53">
        <v>6113.99</v>
      </c>
      <c r="E23" s="73">
        <v>4886.65</v>
      </c>
      <c r="F23" s="53">
        <v>1468.01</v>
      </c>
      <c r="G23" s="53">
        <v>1021.01</v>
      </c>
      <c r="H23" s="53">
        <v>2208.75</v>
      </c>
      <c r="I23" s="53">
        <v>1452.33</v>
      </c>
      <c r="J23" s="53">
        <v>1267.84</v>
      </c>
      <c r="K23" s="53">
        <v>990.27</v>
      </c>
      <c r="L23" s="9">
        <v>78.05</v>
      </c>
      <c r="M23" s="10">
        <v>52.4</v>
      </c>
      <c r="N23" s="10">
        <v>37.21</v>
      </c>
      <c r="O23" s="10">
        <v>52.28</v>
      </c>
      <c r="P23" s="10">
        <v>48.54</v>
      </c>
      <c r="Q23" s="10">
        <v>57.89</v>
      </c>
      <c r="R23" s="10">
        <v>177.03</v>
      </c>
      <c r="S23" s="10">
        <v>45.33</v>
      </c>
      <c r="T23" s="10">
        <v>56.12</v>
      </c>
      <c r="U23" s="10">
        <v>48.6</v>
      </c>
      <c r="V23" s="10">
        <v>232.39</v>
      </c>
      <c r="W23" s="19">
        <v>73.88</v>
      </c>
      <c r="X23" s="62">
        <f t="shared" si="2"/>
        <v>959.72</v>
      </c>
      <c r="Y23" s="81">
        <f t="shared" si="3"/>
        <v>21365.679999999997</v>
      </c>
    </row>
    <row r="24" spans="1:25" ht="34.5" customHeight="1" thickBot="1">
      <c r="A24" s="40" t="s">
        <v>57</v>
      </c>
      <c r="B24" s="34" t="s">
        <v>69</v>
      </c>
      <c r="C24" s="52">
        <v>0</v>
      </c>
      <c r="D24" s="53">
        <v>5390.77</v>
      </c>
      <c r="E24" s="73">
        <v>7818.95</v>
      </c>
      <c r="F24" s="53">
        <v>7631.27</v>
      </c>
      <c r="G24" s="53">
        <v>10026.61</v>
      </c>
      <c r="H24" s="53">
        <v>8523.03</v>
      </c>
      <c r="I24" s="53">
        <v>10835.93</v>
      </c>
      <c r="J24" s="53">
        <v>9273.77</v>
      </c>
      <c r="K24" s="53">
        <v>9766.66</v>
      </c>
      <c r="L24" s="9">
        <f>39.06+279.36+431.58</f>
        <v>750</v>
      </c>
      <c r="M24" s="10">
        <f>409.74+42.81+377.93</f>
        <v>830.48</v>
      </c>
      <c r="N24" s="10">
        <f>415.02+42.44+410.15</f>
        <v>867.6099999999999</v>
      </c>
      <c r="O24" s="10">
        <f>437.18+43.01+319.52</f>
        <v>799.71</v>
      </c>
      <c r="P24" s="10">
        <f>530.06+38.64+249.35</f>
        <v>818.05</v>
      </c>
      <c r="Q24" s="10">
        <f>425.69+36.24+237.93</f>
        <v>699.86</v>
      </c>
      <c r="R24" s="10">
        <f>40.78+276.48+537.2</f>
        <v>854.46</v>
      </c>
      <c r="S24" s="10">
        <f>43.3+420.17+416.46</f>
        <v>879.9300000000001</v>
      </c>
      <c r="T24" s="10">
        <f>485.21+34.07+324.95</f>
        <v>844.23</v>
      </c>
      <c r="U24" s="10">
        <f>45.48+584.77+472.98</f>
        <v>1103.23</v>
      </c>
      <c r="V24" s="10">
        <f>37.26+326.18+677.59</f>
        <v>1041.03</v>
      </c>
      <c r="W24" s="19">
        <f>615.27+43.09+552.02</f>
        <v>1210.38</v>
      </c>
      <c r="X24" s="62">
        <f t="shared" si="2"/>
        <v>10698.970000000001</v>
      </c>
      <c r="Y24" s="81">
        <f t="shared" si="3"/>
        <v>79965.96</v>
      </c>
    </row>
    <row r="25" spans="1:25" ht="15.75" customHeight="1" thickBot="1">
      <c r="A25" s="40" t="s">
        <v>58</v>
      </c>
      <c r="B25" s="34" t="s">
        <v>10</v>
      </c>
      <c r="C25" s="52">
        <v>955.9</v>
      </c>
      <c r="D25" s="53">
        <v>41842.84</v>
      </c>
      <c r="E25" s="73">
        <v>75899.9</v>
      </c>
      <c r="F25" s="53">
        <v>95851.95</v>
      </c>
      <c r="G25" s="53">
        <v>99070.2</v>
      </c>
      <c r="H25" s="53">
        <v>100606.09</v>
      </c>
      <c r="I25" s="53">
        <v>109447.36</v>
      </c>
      <c r="J25" s="53">
        <v>106170.95</v>
      </c>
      <c r="K25" s="53">
        <v>108781.13</v>
      </c>
      <c r="L25" s="9">
        <f>20133.05-10160.93</f>
        <v>9972.119999999999</v>
      </c>
      <c r="M25" s="10">
        <f>33304.08-22069.88</f>
        <v>11234.2</v>
      </c>
      <c r="N25" s="10">
        <f>17435.43-8326.36</f>
        <v>9109.07</v>
      </c>
      <c r="O25" s="10">
        <f>17370.06-8010.31</f>
        <v>9359.75</v>
      </c>
      <c r="P25" s="10">
        <f>17366.46-8261.87</f>
        <v>9104.589999999998</v>
      </c>
      <c r="Q25" s="10">
        <f>27267.7-18223.46</f>
        <v>9044.240000000002</v>
      </c>
      <c r="R25" s="10">
        <f>17627.37-8108.41</f>
        <v>9518.96</v>
      </c>
      <c r="S25" s="10">
        <f>15837.95-6675.55</f>
        <v>9162.400000000001</v>
      </c>
      <c r="T25" s="10">
        <f>17098.11-7561.23</f>
        <v>9536.880000000001</v>
      </c>
      <c r="U25" s="10">
        <f>81737.15-69026.89</f>
        <v>12710.259999999995</v>
      </c>
      <c r="V25" s="10">
        <f>17035.09-7600.86</f>
        <v>9434.23</v>
      </c>
      <c r="W25" s="19">
        <f>19932.37-9964.42-0.06</f>
        <v>9967.89</v>
      </c>
      <c r="X25" s="62">
        <f t="shared" si="2"/>
        <v>118154.58999999998</v>
      </c>
      <c r="Y25" s="81">
        <f t="shared" si="3"/>
        <v>856780.9099999998</v>
      </c>
    </row>
    <row r="26" spans="1:25" ht="15.75" customHeight="1" thickBot="1">
      <c r="A26" s="40" t="s">
        <v>59</v>
      </c>
      <c r="B26" s="35" t="s">
        <v>3</v>
      </c>
      <c r="C26" s="54">
        <v>541.57</v>
      </c>
      <c r="D26" s="55">
        <v>7100.1</v>
      </c>
      <c r="E26" s="74">
        <v>12355.34</v>
      </c>
      <c r="F26" s="55">
        <v>8889.85</v>
      </c>
      <c r="G26" s="55">
        <v>7586.38</v>
      </c>
      <c r="H26" s="55">
        <v>7452.77</v>
      </c>
      <c r="I26" s="55">
        <v>7243.51</v>
      </c>
      <c r="J26" s="55">
        <v>7142.62</v>
      </c>
      <c r="K26" s="55">
        <v>7689.47</v>
      </c>
      <c r="L26" s="11">
        <f>55.52+630.06</f>
        <v>685.5799999999999</v>
      </c>
      <c r="M26" s="12">
        <f>54.17+614.74</f>
        <v>668.91</v>
      </c>
      <c r="N26" s="12">
        <f>48.29+547.98</f>
        <v>596.27</v>
      </c>
      <c r="O26" s="12">
        <f>48.21+547.06</f>
        <v>595.27</v>
      </c>
      <c r="P26" s="12">
        <f>55.29+627.39</f>
        <v>682.68</v>
      </c>
      <c r="Q26" s="12">
        <f>53.12+569.62</f>
        <v>622.74</v>
      </c>
      <c r="R26" s="12">
        <f>55.81+598.45</f>
        <v>654.26</v>
      </c>
      <c r="S26" s="12">
        <f>55.36+568.09</f>
        <v>623.45</v>
      </c>
      <c r="T26" s="12">
        <f>7.17+571.25</f>
        <v>578.42</v>
      </c>
      <c r="U26" s="12">
        <f>6.04+585.75</f>
        <v>591.79</v>
      </c>
      <c r="V26" s="12">
        <f>5.77+569.62</f>
        <v>575.39</v>
      </c>
      <c r="W26" s="21">
        <f>5.77+569.62</f>
        <v>575.39</v>
      </c>
      <c r="X26" s="62">
        <f t="shared" si="2"/>
        <v>7450.150000000001</v>
      </c>
      <c r="Y26" s="81">
        <f t="shared" si="3"/>
        <v>73451.76</v>
      </c>
    </row>
    <row r="27" spans="1:25" ht="13.5" customHeight="1" thickBot="1">
      <c r="A27" s="40"/>
      <c r="B27" s="37" t="s">
        <v>64</v>
      </c>
      <c r="C27" s="65"/>
      <c r="D27" s="66"/>
      <c r="E27" s="70"/>
      <c r="F27" s="66"/>
      <c r="G27" s="66"/>
      <c r="H27" s="76">
        <f>H8*5%</f>
        <v>11240.330000000002</v>
      </c>
      <c r="I27" s="76">
        <f>I8*5%</f>
        <v>11353.824</v>
      </c>
      <c r="J27" s="85">
        <f>J8*5%</f>
        <v>11368.7915</v>
      </c>
      <c r="K27" s="85">
        <f>K8*5%</f>
        <v>9678.4</v>
      </c>
      <c r="L27" s="75">
        <f>SUM(L8+L9+L10)*5%</f>
        <v>1011.3155000000002</v>
      </c>
      <c r="M27" s="76">
        <f aca="true" t="shared" si="4" ref="M27:W27">SUM(M8+M9+M10)*5%</f>
        <v>1011.3210000000001</v>
      </c>
      <c r="N27" s="75">
        <f t="shared" si="4"/>
        <v>1011.3210000000001</v>
      </c>
      <c r="O27" s="76">
        <f t="shared" si="4"/>
        <v>1011.3210000000001</v>
      </c>
      <c r="P27" s="75">
        <f t="shared" si="4"/>
        <v>1015.465</v>
      </c>
      <c r="Q27" s="76">
        <f t="shared" si="4"/>
        <v>1015.465</v>
      </c>
      <c r="R27" s="75">
        <f t="shared" si="4"/>
        <v>1019.3935</v>
      </c>
      <c r="S27" s="76">
        <f t="shared" si="4"/>
        <v>948.9545</v>
      </c>
      <c r="T27" s="75">
        <f t="shared" si="4"/>
        <v>948.9545</v>
      </c>
      <c r="U27" s="76">
        <f t="shared" si="4"/>
        <v>2798.9545000000003</v>
      </c>
      <c r="V27" s="75">
        <f t="shared" si="4"/>
        <v>973.3970000000002</v>
      </c>
      <c r="W27" s="76">
        <f t="shared" si="4"/>
        <v>953.8430000000001</v>
      </c>
      <c r="X27" s="76">
        <f t="shared" si="2"/>
        <v>13719.705500000002</v>
      </c>
      <c r="Y27" s="83"/>
    </row>
    <row r="28" spans="1:25" ht="13.5" customHeight="1" thickBot="1">
      <c r="A28" s="40" t="s">
        <v>41</v>
      </c>
      <c r="B28" s="37" t="s">
        <v>55</v>
      </c>
      <c r="C28" s="65"/>
      <c r="D28" s="66"/>
      <c r="E28" s="70"/>
      <c r="F28" s="66"/>
      <c r="G28" s="66"/>
      <c r="H28" s="66"/>
      <c r="I28" s="66"/>
      <c r="J28" s="84"/>
      <c r="K28" s="77">
        <f aca="true" t="shared" si="5" ref="K28:W28">SUM(K8+K9+K10-K11)-K27</f>
        <v>12984.040000000003</v>
      </c>
      <c r="L28" s="77">
        <f t="shared" si="5"/>
        <v>-918.0554999999945</v>
      </c>
      <c r="M28" s="77">
        <f t="shared" si="5"/>
        <v>-14088.981</v>
      </c>
      <c r="N28" s="77">
        <f t="shared" si="5"/>
        <v>1779.6690000000015</v>
      </c>
      <c r="O28" s="77">
        <f t="shared" si="5"/>
        <v>1845.0390000000004</v>
      </c>
      <c r="P28" s="77">
        <f t="shared" si="5"/>
        <v>1927.375</v>
      </c>
      <c r="Q28" s="77">
        <f t="shared" si="5"/>
        <v>-7973.865000000005</v>
      </c>
      <c r="R28" s="77">
        <f t="shared" si="5"/>
        <v>1741.1064999999999</v>
      </c>
      <c r="S28" s="77">
        <f t="shared" si="5"/>
        <v>2192.1854999999996</v>
      </c>
      <c r="T28" s="77">
        <f t="shared" si="5"/>
        <v>932.0254999999995</v>
      </c>
      <c r="U28" s="77">
        <f t="shared" si="5"/>
        <v>-28557.01449999999</v>
      </c>
      <c r="V28" s="77">
        <f t="shared" si="5"/>
        <v>1459.453000000002</v>
      </c>
      <c r="W28" s="77">
        <f t="shared" si="5"/>
        <v>-1809.2929999999972</v>
      </c>
      <c r="X28" s="76">
        <f t="shared" si="2"/>
        <v>-41470.35549999998</v>
      </c>
      <c r="Y28" s="83"/>
    </row>
    <row r="29" spans="1:25" ht="26.25" customHeight="1" thickBot="1">
      <c r="A29" s="86" t="s">
        <v>42</v>
      </c>
      <c r="B29" s="93" t="s">
        <v>24</v>
      </c>
      <c r="C29" s="94">
        <v>19733.82</v>
      </c>
      <c r="D29" s="95">
        <v>34286.76</v>
      </c>
      <c r="E29" s="89">
        <f>SUM(E8-E11)</f>
        <v>22734.050000000047</v>
      </c>
      <c r="F29" s="88">
        <f>SUM(F8-F11)</f>
        <v>34945.19</v>
      </c>
      <c r="G29" s="88">
        <f>SUM(G8-G11)</f>
        <v>34993.369999999995</v>
      </c>
      <c r="H29" s="96">
        <f>SUM(H8-H11)-H27</f>
        <v>27052.990000000005</v>
      </c>
      <c r="I29" s="96">
        <f>SUM(I8-I11)-I27</f>
        <v>3717.9660000000076</v>
      </c>
      <c r="J29" s="96">
        <f>SUM(J8-J11)-J27</f>
        <v>10992.398499999974</v>
      </c>
      <c r="K29" s="96">
        <f>SUM(K8+K9+K10-K11)-K27</f>
        <v>12984.040000000003</v>
      </c>
      <c r="L29" s="96">
        <f>SUM(L8+L9+L10-L11)-L27</f>
        <v>-918.0554999999945</v>
      </c>
      <c r="M29" s="97">
        <f>SUM(M28+L29)</f>
        <v>-15007.036499999995</v>
      </c>
      <c r="N29" s="98">
        <f aca="true" t="shared" si="6" ref="N29:W29">SUM(N28+M29)</f>
        <v>-13227.367499999993</v>
      </c>
      <c r="O29" s="97">
        <f t="shared" si="6"/>
        <v>-11382.328499999992</v>
      </c>
      <c r="P29" s="98">
        <f t="shared" si="6"/>
        <v>-9454.953499999992</v>
      </c>
      <c r="Q29" s="97">
        <f t="shared" si="6"/>
        <v>-17428.818499999998</v>
      </c>
      <c r="R29" s="98">
        <f t="shared" si="6"/>
        <v>-15687.711999999998</v>
      </c>
      <c r="S29" s="97">
        <f t="shared" si="6"/>
        <v>-13495.526499999998</v>
      </c>
      <c r="T29" s="98">
        <f t="shared" si="6"/>
        <v>-12563.500999999998</v>
      </c>
      <c r="U29" s="97">
        <f t="shared" si="6"/>
        <v>-41120.51549999999</v>
      </c>
      <c r="V29" s="98">
        <f t="shared" si="6"/>
        <v>-39661.062499999985</v>
      </c>
      <c r="W29" s="97">
        <f t="shared" si="6"/>
        <v>-41470.35549999998</v>
      </c>
      <c r="X29" s="88"/>
      <c r="Y29" s="99"/>
    </row>
    <row r="30" spans="1:25" ht="0.75" customHeight="1" thickBot="1">
      <c r="A30" s="40" t="s">
        <v>43</v>
      </c>
      <c r="B30" s="36" t="s">
        <v>25</v>
      </c>
      <c r="C30" s="69">
        <v>19733.82</v>
      </c>
      <c r="D30" s="47">
        <v>54020.57</v>
      </c>
      <c r="E30" s="20">
        <f>SUM(E8-E11,D30)</f>
        <v>76754.62000000005</v>
      </c>
      <c r="F30" s="62">
        <f>SUM(F8-F11,E30)</f>
        <v>111699.81000000006</v>
      </c>
      <c r="G30" s="62">
        <f>SUM(G8-G11,F30)</f>
        <v>146693.18000000005</v>
      </c>
      <c r="H30" s="77">
        <f>SUM(H29+G30)</f>
        <v>173746.17000000004</v>
      </c>
      <c r="I30" s="77">
        <f>SUM(I29+H30)</f>
        <v>177464.13600000006</v>
      </c>
      <c r="J30" s="77">
        <f>SUM(J29+I30)</f>
        <v>188456.53450000004</v>
      </c>
      <c r="K30" s="77">
        <f>SUM(K29+J30)</f>
        <v>201440.57450000005</v>
      </c>
      <c r="L30" s="77">
        <f>SUM(L29+K30)</f>
        <v>200522.51900000006</v>
      </c>
      <c r="M30" s="78">
        <f>SUM(M28+L30)</f>
        <v>186433.53800000006</v>
      </c>
      <c r="N30" s="76">
        <f>SUM(N28+M30)</f>
        <v>188213.20700000005</v>
      </c>
      <c r="O30" s="78">
        <f aca="true" t="shared" si="7" ref="O30:V30">SUM(O28+N30)</f>
        <v>190058.24600000004</v>
      </c>
      <c r="P30" s="76">
        <f t="shared" si="7"/>
        <v>191985.62100000004</v>
      </c>
      <c r="Q30" s="78">
        <f t="shared" si="7"/>
        <v>184011.75600000005</v>
      </c>
      <c r="R30" s="76">
        <f t="shared" si="7"/>
        <v>185752.86250000005</v>
      </c>
      <c r="S30" s="78">
        <f t="shared" si="7"/>
        <v>187945.04800000004</v>
      </c>
      <c r="T30" s="76">
        <f t="shared" si="7"/>
        <v>188877.07350000003</v>
      </c>
      <c r="U30" s="78">
        <f t="shared" si="7"/>
        <v>160320.05900000004</v>
      </c>
      <c r="V30" s="76">
        <f t="shared" si="7"/>
        <v>161779.51200000005</v>
      </c>
      <c r="W30" s="78">
        <f>SUM(W28+V30)</f>
        <v>159970.21900000004</v>
      </c>
      <c r="X30" s="62"/>
      <c r="Y30" s="67"/>
    </row>
    <row r="31" spans="1:25" ht="8.25" customHeight="1" hidden="1" thickBot="1">
      <c r="A31" s="41" t="s">
        <v>44</v>
      </c>
      <c r="B31" s="36" t="s">
        <v>8</v>
      </c>
      <c r="C31" s="43"/>
      <c r="D31" s="47"/>
      <c r="E31" s="47"/>
      <c r="F31" s="43"/>
      <c r="G31" s="43"/>
      <c r="H31" s="43"/>
      <c r="I31" s="43"/>
      <c r="J31" s="43"/>
      <c r="K31" s="43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2"/>
      <c r="X31" s="62"/>
      <c r="Y31" s="58"/>
    </row>
    <row r="32" spans="1:25" ht="15" customHeight="1" hidden="1" thickBot="1">
      <c r="A32" s="41" t="s">
        <v>48</v>
      </c>
      <c r="B32" s="37" t="s">
        <v>26</v>
      </c>
      <c r="C32" s="44"/>
      <c r="D32" s="48"/>
      <c r="E32" s="48"/>
      <c r="F32" s="44"/>
      <c r="G32" s="44"/>
      <c r="H32" s="44"/>
      <c r="I32" s="44"/>
      <c r="J32" s="44"/>
      <c r="K32" s="44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3"/>
      <c r="X32" s="63"/>
      <c r="Y32" s="58"/>
    </row>
    <row r="33" spans="1:25" ht="24" customHeight="1" hidden="1" thickBot="1">
      <c r="A33" s="56" t="s">
        <v>51</v>
      </c>
      <c r="B33" s="38" t="s">
        <v>49</v>
      </c>
      <c r="C33" s="45"/>
      <c r="D33" s="49"/>
      <c r="E33" s="49"/>
      <c r="F33" s="45"/>
      <c r="G33" s="45"/>
      <c r="H33" s="45"/>
      <c r="I33" s="45"/>
      <c r="J33" s="45"/>
      <c r="K33" s="45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8">
        <f>SUM(W29-W31)</f>
        <v>-41470.35549999998</v>
      </c>
      <c r="X33" s="64"/>
      <c r="Y33" s="59"/>
    </row>
    <row r="34" spans="1:25" ht="24" customHeight="1" hidden="1" thickBot="1">
      <c r="A34" s="56" t="s">
        <v>54</v>
      </c>
      <c r="B34" s="38" t="s">
        <v>27</v>
      </c>
      <c r="C34" s="45"/>
      <c r="D34" s="49"/>
      <c r="E34" s="49"/>
      <c r="F34" s="45"/>
      <c r="G34" s="45"/>
      <c r="H34" s="45"/>
      <c r="I34" s="45"/>
      <c r="J34" s="45"/>
      <c r="K34" s="45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>
        <f>SUM(W30-W31)</f>
        <v>159970.21900000004</v>
      </c>
      <c r="X34" s="64"/>
      <c r="Y34" s="59"/>
    </row>
    <row r="35" spans="3:25" ht="9" customHeight="1" hidden="1"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</row>
    <row r="36" ht="12" customHeight="1" hidden="1"/>
    <row r="37" ht="2.25" customHeight="1" hidden="1"/>
    <row r="38" ht="12.75" hidden="1"/>
    <row r="39" ht="12.75" hidden="1"/>
    <row r="40" ht="12.75">
      <c r="B40" t="s">
        <v>68</v>
      </c>
    </row>
    <row r="44" ht="12.75" customHeight="1"/>
    <row r="45" ht="12.75" customHeight="1"/>
  </sheetData>
  <sheetProtection/>
  <mergeCells count="5">
    <mergeCell ref="B4:Y4"/>
    <mergeCell ref="B5:Y5"/>
    <mergeCell ref="B3:Y3"/>
    <mergeCell ref="B1:N1"/>
    <mergeCell ref="B2:V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2019-02-11T07:10:58Z</cp:lastPrinted>
  <dcterms:created xsi:type="dcterms:W3CDTF">2011-06-16T11:06:26Z</dcterms:created>
  <dcterms:modified xsi:type="dcterms:W3CDTF">2019-02-12T13:10:01Z</dcterms:modified>
  <cp:category/>
  <cp:version/>
  <cp:contentType/>
  <cp:contentStatus/>
</cp:coreProperties>
</file>